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POLON 4900" sheetId="1" r:id="rId1"/>
    <sheet name="POLON 4200" sheetId="2" r:id="rId2"/>
    <sheet name="POLON 4100" sheetId="3" r:id="rId3"/>
  </sheets>
  <definedNames/>
  <calcPr fullCalcOnLoad="1"/>
</workbook>
</file>

<file path=xl/sharedStrings.xml><?xml version="1.0" encoding="utf-8"?>
<sst xmlns="http://schemas.openxmlformats.org/spreadsheetml/2006/main" count="266" uniqueCount="83">
  <si>
    <t>RAZEM</t>
  </si>
  <si>
    <t>DOR</t>
  </si>
  <si>
    <t>DIO</t>
  </si>
  <si>
    <t>TUN</t>
  </si>
  <si>
    <t>ROP</t>
  </si>
  <si>
    <t>EKS</t>
  </si>
  <si>
    <t>ADC</t>
  </si>
  <si>
    <t>KABEL</t>
  </si>
  <si>
    <t>Nr linii</t>
  </si>
  <si>
    <r>
      <t xml:space="preserve">Tryb 1 </t>
    </r>
    <r>
      <rPr>
        <sz val="8"/>
        <rFont val="Arial CE"/>
        <family val="2"/>
      </rPr>
      <t>R</t>
    </r>
    <r>
      <rPr>
        <vertAlign val="subscript"/>
        <sz val="8"/>
        <rFont val="Arial CE"/>
        <family val="2"/>
      </rPr>
      <t>k</t>
    </r>
    <r>
      <rPr>
        <sz val="8"/>
        <rFont val="Arial CE"/>
        <family val="2"/>
      </rPr>
      <t>=13k</t>
    </r>
  </si>
  <si>
    <r>
      <t xml:space="preserve">Tryb 2 </t>
    </r>
    <r>
      <rPr>
        <sz val="8"/>
        <rFont val="Arial CE"/>
        <family val="2"/>
      </rPr>
      <t>R</t>
    </r>
    <r>
      <rPr>
        <vertAlign val="subscript"/>
        <sz val="8"/>
        <rFont val="Arial CE"/>
        <family val="2"/>
      </rPr>
      <t>k</t>
    </r>
    <r>
      <rPr>
        <sz val="8"/>
        <rFont val="Arial CE"/>
        <family val="2"/>
      </rPr>
      <t>=5,6k</t>
    </r>
  </si>
  <si>
    <r>
      <t xml:space="preserve">Tryb 3 </t>
    </r>
    <r>
      <rPr>
        <sz val="8"/>
        <rFont val="Arial CE"/>
        <family val="2"/>
      </rPr>
      <t>R</t>
    </r>
    <r>
      <rPr>
        <vertAlign val="subscript"/>
        <sz val="8"/>
        <rFont val="Arial CE"/>
        <family val="2"/>
      </rPr>
      <t>k</t>
    </r>
    <r>
      <rPr>
        <sz val="8"/>
        <rFont val="Arial CE"/>
        <family val="2"/>
      </rPr>
      <t>=47k</t>
    </r>
  </si>
  <si>
    <r>
      <t xml:space="preserve">Tryb 4 </t>
    </r>
    <r>
      <rPr>
        <sz val="8"/>
        <rFont val="Arial CE"/>
        <family val="2"/>
      </rPr>
      <t>R</t>
    </r>
    <r>
      <rPr>
        <vertAlign val="subscript"/>
        <sz val="8"/>
        <rFont val="Arial CE"/>
        <family val="2"/>
      </rPr>
      <t>k</t>
    </r>
    <r>
      <rPr>
        <sz val="8"/>
        <rFont val="Arial CE"/>
        <family val="2"/>
      </rPr>
      <t>=13k</t>
    </r>
  </si>
  <si>
    <r>
      <t xml:space="preserve">Tryb 5 </t>
    </r>
    <r>
      <rPr>
        <sz val="8"/>
        <rFont val="Arial CE"/>
        <family val="2"/>
      </rPr>
      <t>DOP-40</t>
    </r>
  </si>
  <si>
    <r>
      <t>Pojem-ność</t>
    </r>
    <r>
      <rPr>
        <sz val="8"/>
        <rFont val="Arial CE"/>
        <family val="2"/>
      </rPr>
      <t xml:space="preserve"> [nF/km]</t>
    </r>
  </si>
  <si>
    <t>UWAGI</t>
  </si>
  <si>
    <r>
      <t xml:space="preserve">Pojem-ność linii      </t>
    </r>
    <r>
      <rPr>
        <sz val="8"/>
        <rFont val="Arial CE"/>
        <family val="2"/>
      </rPr>
      <t>[nF]</t>
    </r>
  </si>
  <si>
    <r>
      <t>Łączny prąd dozoro-wania</t>
    </r>
    <r>
      <rPr>
        <sz val="8"/>
        <rFont val="Arial CE"/>
        <family val="2"/>
      </rPr>
      <t xml:space="preserve"> [mA]</t>
    </r>
  </si>
  <si>
    <t>OBLICZENIE POJEMNOŚCI AKUMULATORÓW REZERWOWYCH</t>
  </si>
  <si>
    <r>
      <t xml:space="preserve">Dłu-gość   </t>
    </r>
    <r>
      <rPr>
        <sz val="8"/>
        <rFont val="Arial CE"/>
        <family val="2"/>
      </rPr>
      <t>[km]</t>
    </r>
  </si>
  <si>
    <t>Liczba linii dozorowych</t>
  </si>
  <si>
    <t>Adresy</t>
  </si>
  <si>
    <t>© Georgi Gyoshev</t>
  </si>
  <si>
    <r>
      <t xml:space="preserve">Tryb 6 </t>
    </r>
    <r>
      <rPr>
        <sz val="8"/>
        <rFont val="Arial CE"/>
        <family val="2"/>
      </rPr>
      <t>R</t>
    </r>
    <r>
      <rPr>
        <vertAlign val="subscript"/>
        <sz val="8"/>
        <rFont val="Arial CE"/>
        <family val="2"/>
      </rPr>
      <t>k</t>
    </r>
    <r>
      <rPr>
        <sz val="8"/>
        <rFont val="Arial CE"/>
        <family val="2"/>
      </rPr>
      <t>=33k</t>
    </r>
  </si>
  <si>
    <t>TAB-OBL2</t>
  </si>
  <si>
    <t>DOT</t>
  </si>
  <si>
    <t>DPR</t>
  </si>
  <si>
    <t>DUR</t>
  </si>
  <si>
    <t>SAL</t>
  </si>
  <si>
    <t>EWS</t>
  </si>
  <si>
    <t>EWK</t>
  </si>
  <si>
    <t>Ogran. prądu</t>
  </si>
  <si>
    <t>Parametry prawidłowe</t>
  </si>
  <si>
    <t>Linii:</t>
  </si>
  <si>
    <t>Centrali:</t>
  </si>
  <si>
    <t>Ograniczenia ilości elementów:</t>
  </si>
  <si>
    <t>Pojemność linii</t>
  </si>
  <si>
    <t>Rezystancja linii</t>
  </si>
  <si>
    <t>linia</t>
  </si>
  <si>
    <t>OK</t>
  </si>
  <si>
    <t xml:space="preserve">prąd dozorowy, </t>
  </si>
  <si>
    <t xml:space="preserve">ilość elementów, </t>
  </si>
  <si>
    <t xml:space="preserve">pojemność przewodów, </t>
  </si>
  <si>
    <t>ACR</t>
  </si>
  <si>
    <r>
      <t xml:space="preserve">Rezy-stancja  </t>
    </r>
    <r>
      <rPr>
        <sz val="8"/>
        <rFont val="Arial CE"/>
        <family val="2"/>
      </rPr>
      <t>[</t>
    </r>
    <r>
      <rPr>
        <sz val="8"/>
        <rFont val="Symbol"/>
        <family val="1"/>
      </rPr>
      <t>W</t>
    </r>
    <r>
      <rPr>
        <sz val="8"/>
        <rFont val="Arial CE"/>
        <family val="2"/>
      </rPr>
      <t>/km]</t>
    </r>
  </si>
  <si>
    <r>
      <t xml:space="preserve">Rezy-stancja linii   </t>
    </r>
    <r>
      <rPr>
        <sz val="8"/>
        <rFont val="Arial CE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 CE"/>
        <family val="2"/>
      </rPr>
      <t>]</t>
    </r>
  </si>
  <si>
    <t xml:space="preserve">rezystancja przewodów, </t>
  </si>
  <si>
    <t xml:space="preserve">ilość czujek DUR-4047, </t>
  </si>
  <si>
    <t xml:space="preserve">brak ACR, </t>
  </si>
  <si>
    <t>OBLICZANIE PARAMETRÓW LINII DOZOROWYCH I ZASILANIA DLA CENTRALI POLON 4900</t>
  </si>
  <si>
    <t>prąd zew doz</t>
  </si>
  <si>
    <t>prąd doz</t>
  </si>
  <si>
    <t>prąd alarm</t>
  </si>
  <si>
    <t>prąd zewn alarm</t>
  </si>
  <si>
    <t>[Ah]</t>
  </si>
  <si>
    <t>Pojemność akumulatorów</t>
  </si>
  <si>
    <t>Wymagany czas pracy</t>
  </si>
  <si>
    <t>dozorowanie [A]</t>
  </si>
  <si>
    <t>alarmowanie [A]</t>
  </si>
  <si>
    <t>Pobór prądu łącznie</t>
  </si>
  <si>
    <t>Pobór prądu przez urz. zewnętrzne</t>
  </si>
  <si>
    <t>[h]</t>
  </si>
  <si>
    <t>Wykorzystane linie sygnałowe</t>
  </si>
  <si>
    <t>LS1 LS2</t>
  </si>
  <si>
    <t>LS3 - LS8</t>
  </si>
  <si>
    <t xml:space="preserve">ilość EWK linii, </t>
  </si>
  <si>
    <t xml:space="preserve">ilość EWS linii, </t>
  </si>
  <si>
    <t>UCS</t>
  </si>
  <si>
    <t>LS1</t>
  </si>
  <si>
    <t>LS2</t>
  </si>
  <si>
    <t>DUT</t>
  </si>
  <si>
    <t>UCS 4000 /6000</t>
  </si>
  <si>
    <t>DOP 6001</t>
  </si>
  <si>
    <t>DUR 4047 radio</t>
  </si>
  <si>
    <t>ilość UCS</t>
  </si>
  <si>
    <t>el</t>
  </si>
  <si>
    <t>prąd</t>
  </si>
  <si>
    <t>R</t>
  </si>
  <si>
    <t>C</t>
  </si>
  <si>
    <t>cz rad</t>
  </si>
  <si>
    <t>acr</t>
  </si>
  <si>
    <t>OBLICZANIE PARAMETRÓW LINII DOZOROWYCH I ZASILANIA DLA CENTRALI POLON 4100</t>
  </si>
  <si>
    <t>OBLICZANIE PARAMETRÓW LINII DOZOROWYCH I ZASILANIA DLA CENTRALI POLON 4200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</si>
</sst>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2">
    <font>
      <sz val="10"/>
      <name val="Arial CE"/>
      <family val="0"/>
    </font>
    <font>
      <sz val="8"/>
      <name val="Arial CE"/>
      <family val="2"/>
    </font>
    <font>
      <vertAlign val="subscript"/>
      <sz val="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31"/>
      <name val="Arial CE"/>
      <family val="0"/>
    </font>
    <font>
      <sz val="10"/>
      <color indexed="16"/>
      <name val="Arial CE"/>
      <family val="2"/>
    </font>
    <font>
      <sz val="8"/>
      <name val="Symbol"/>
      <family val="1"/>
    </font>
    <font>
      <b/>
      <sz val="11"/>
      <name val="Arial CE"/>
      <family val="2"/>
    </font>
    <font>
      <sz val="6"/>
      <name val="Arial CE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top"/>
      <protection hidden="1"/>
    </xf>
    <xf numFmtId="0" fontId="0" fillId="2" borderId="4" xfId="0" applyFill="1" applyBorder="1" applyAlignment="1" applyProtection="1">
      <alignment horizontal="center" vertical="top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top"/>
      <protection hidden="1"/>
    </xf>
    <xf numFmtId="0" fontId="5" fillId="4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/>
      <protection hidden="1"/>
    </xf>
    <xf numFmtId="1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 horizontal="left"/>
      <protection hidden="1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1" fontId="0" fillId="4" borderId="0" xfId="0" applyNumberFormat="1" applyFont="1" applyFill="1" applyAlignment="1" applyProtection="1">
      <alignment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49" fontId="0" fillId="2" borderId="3" xfId="0" applyNumberFormat="1" applyFill="1" applyBorder="1" applyAlignment="1" applyProtection="1">
      <alignment horizontal="center" vertical="top" wrapText="1"/>
      <protection hidden="1"/>
    </xf>
    <xf numFmtId="0" fontId="0" fillId="4" borderId="0" xfId="0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ill="1" applyAlignment="1">
      <alignment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2" xfId="0" applyFont="1" applyFill="1" applyBorder="1" applyAlignment="1" applyProtection="1">
      <alignment horizontal="center" vertical="center" wrapText="1"/>
      <protection hidden="1"/>
    </xf>
    <xf numFmtId="1" fontId="3" fillId="3" borderId="6" xfId="0" applyNumberFormat="1" applyFont="1" applyFill="1" applyBorder="1" applyAlignment="1" applyProtection="1">
      <alignment horizontal="center" vertical="center"/>
      <protection hidden="1"/>
    </xf>
    <xf numFmtId="1" fontId="3" fillId="3" borderId="14" xfId="0" applyNumberFormat="1" applyFont="1" applyFill="1" applyBorder="1" applyAlignment="1" applyProtection="1">
      <alignment horizontal="center" vertical="center"/>
      <protection hidden="1"/>
    </xf>
    <xf numFmtId="1" fontId="3" fillId="3" borderId="8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0" fillId="3" borderId="13" xfId="0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8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fill>
        <patternFill patternType="solid">
          <bgColor rgb="FFFFFFCC"/>
        </patternFill>
      </fill>
      <border/>
    </dxf>
    <dxf>
      <font>
        <b/>
        <i val="0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H46"/>
  <sheetViews>
    <sheetView showGridLines="0" workbookViewId="0" topLeftCell="A7">
      <selection activeCell="O20" sqref="O20:Q20"/>
    </sheetView>
  </sheetViews>
  <sheetFormatPr defaultColWidth="9.00390625" defaultRowHeight="12.75"/>
  <cols>
    <col min="1" max="1" width="3.75390625" style="3" customWidth="1"/>
    <col min="2" max="2" width="6.25390625" style="3" customWidth="1"/>
    <col min="3" max="17" width="5.125" style="3" customWidth="1"/>
    <col min="18" max="18" width="5.375" style="3" customWidth="1"/>
    <col min="19" max="24" width="5.625" style="3" customWidth="1"/>
    <col min="25" max="25" width="7.00390625" style="3" customWidth="1"/>
    <col min="26" max="28" width="6.75390625" style="3" customWidth="1"/>
    <col min="29" max="29" width="7.00390625" style="3" customWidth="1"/>
    <col min="30" max="30" width="7.125" style="3" customWidth="1"/>
    <col min="31" max="31" width="12.25390625" style="3" customWidth="1"/>
    <col min="32" max="32" width="14.00390625" style="3" customWidth="1"/>
    <col min="33" max="33" width="11.00390625" style="3" customWidth="1"/>
    <col min="34" max="16384" width="9.125" style="3" customWidth="1"/>
  </cols>
  <sheetData>
    <row r="1" spans="1:33" ht="1.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>
        <f>SUM(C12:W12)</f>
        <v>0</v>
      </c>
      <c r="T1" s="1">
        <f>SUM(C13:W13)</f>
        <v>0</v>
      </c>
      <c r="U1" s="1">
        <f>SUM(C14:W14)</f>
        <v>0</v>
      </c>
      <c r="V1" s="2"/>
      <c r="W1" s="2" t="s">
        <v>22</v>
      </c>
      <c r="X1" s="2"/>
      <c r="Y1" s="2"/>
      <c r="Z1" s="2"/>
      <c r="AG1" s="4" t="s">
        <v>24</v>
      </c>
    </row>
    <row r="2" spans="1:33" ht="25.5" customHeight="1">
      <c r="A2" s="45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/>
    </row>
    <row r="3" spans="1:33" ht="20.25" customHeight="1">
      <c r="A3" s="44" t="s">
        <v>8</v>
      </c>
      <c r="B3" s="1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  <c r="T3" s="53"/>
      <c r="U3" s="53"/>
      <c r="V3" s="53"/>
      <c r="W3" s="53"/>
      <c r="X3" s="53"/>
      <c r="Y3" s="44" t="s">
        <v>17</v>
      </c>
      <c r="Z3" s="45" t="s">
        <v>7</v>
      </c>
      <c r="AA3" s="48"/>
      <c r="AB3" s="49"/>
      <c r="AC3" s="44" t="s">
        <v>45</v>
      </c>
      <c r="AD3" s="44" t="s">
        <v>16</v>
      </c>
      <c r="AE3" s="55" t="s">
        <v>15</v>
      </c>
      <c r="AF3" s="56"/>
      <c r="AG3" s="57"/>
    </row>
    <row r="4" spans="1:33" ht="14.25" customHeight="1">
      <c r="A4" s="50"/>
      <c r="B4" s="15"/>
      <c r="C4" s="10">
        <v>0.15</v>
      </c>
      <c r="D4" s="10">
        <v>0.15</v>
      </c>
      <c r="E4" s="10">
        <v>0.15</v>
      </c>
      <c r="F4" s="10">
        <v>0.3</v>
      </c>
      <c r="G4" s="10">
        <v>0.15</v>
      </c>
      <c r="H4" s="11">
        <v>0.12</v>
      </c>
      <c r="I4" s="10">
        <v>0.17</v>
      </c>
      <c r="J4" s="10">
        <v>0.15</v>
      </c>
      <c r="K4" s="10">
        <v>0.135</v>
      </c>
      <c r="L4" s="10">
        <v>0.6</v>
      </c>
      <c r="M4" s="10">
        <v>0.165</v>
      </c>
      <c r="N4" s="10">
        <v>0.15</v>
      </c>
      <c r="O4" s="10">
        <v>0.15</v>
      </c>
      <c r="P4" s="17">
        <v>6</v>
      </c>
      <c r="Q4" s="17"/>
      <c r="R4" s="17">
        <v>0.6</v>
      </c>
      <c r="S4" s="49" t="s">
        <v>6</v>
      </c>
      <c r="T4" s="54"/>
      <c r="U4" s="54"/>
      <c r="V4" s="54"/>
      <c r="W4" s="54"/>
      <c r="X4" s="54"/>
      <c r="Y4" s="64"/>
      <c r="Z4" s="44" t="s">
        <v>19</v>
      </c>
      <c r="AA4" s="44" t="s">
        <v>44</v>
      </c>
      <c r="AB4" s="44" t="s">
        <v>14</v>
      </c>
      <c r="AC4" s="64"/>
      <c r="AD4" s="64"/>
      <c r="AE4" s="58"/>
      <c r="AF4" s="59"/>
      <c r="AG4" s="60"/>
    </row>
    <row r="5" spans="1:33" ht="49.5" customHeight="1">
      <c r="A5" s="51"/>
      <c r="B5" s="14" t="s">
        <v>31</v>
      </c>
      <c r="C5" s="8" t="s">
        <v>2</v>
      </c>
      <c r="D5" s="8" t="s">
        <v>1</v>
      </c>
      <c r="E5" s="8" t="s">
        <v>70</v>
      </c>
      <c r="F5" s="38" t="s">
        <v>72</v>
      </c>
      <c r="G5" s="8" t="s">
        <v>25</v>
      </c>
      <c r="H5" s="9" t="s">
        <v>3</v>
      </c>
      <c r="I5" s="8" t="s">
        <v>26</v>
      </c>
      <c r="J5" s="8" t="s">
        <v>27</v>
      </c>
      <c r="K5" s="8" t="s">
        <v>4</v>
      </c>
      <c r="L5" s="8" t="s">
        <v>28</v>
      </c>
      <c r="M5" s="8" t="s">
        <v>5</v>
      </c>
      <c r="N5" s="8" t="s">
        <v>29</v>
      </c>
      <c r="O5" s="8" t="s">
        <v>30</v>
      </c>
      <c r="P5" s="18" t="s">
        <v>43</v>
      </c>
      <c r="Q5" s="21" t="s">
        <v>73</v>
      </c>
      <c r="R5" s="21" t="s">
        <v>71</v>
      </c>
      <c r="S5" s="7" t="s">
        <v>9</v>
      </c>
      <c r="T5" s="5" t="s">
        <v>10</v>
      </c>
      <c r="U5" s="5" t="s">
        <v>11</v>
      </c>
      <c r="V5" s="5" t="s">
        <v>12</v>
      </c>
      <c r="W5" s="5" t="s">
        <v>13</v>
      </c>
      <c r="X5" s="5" t="s">
        <v>23</v>
      </c>
      <c r="Y5" s="65"/>
      <c r="Z5" s="65"/>
      <c r="AA5" s="65"/>
      <c r="AB5" s="65"/>
      <c r="AC5" s="65"/>
      <c r="AD5" s="65"/>
      <c r="AE5" s="61"/>
      <c r="AF5" s="62"/>
      <c r="AG5" s="63"/>
    </row>
    <row r="6" spans="1:33" s="36" customFormat="1" ht="7.5" customHeight="1">
      <c r="A6" s="35">
        <v>1</v>
      </c>
      <c r="B6" s="35">
        <v>2</v>
      </c>
      <c r="C6" s="35">
        <v>3</v>
      </c>
      <c r="D6" s="35">
        <v>4</v>
      </c>
      <c r="E6" s="35"/>
      <c r="F6" s="35"/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69">
        <v>29</v>
      </c>
      <c r="AF6" s="70"/>
      <c r="AG6" s="71"/>
    </row>
    <row r="7" spans="1:33" ht="42" customHeight="1">
      <c r="A7" s="6">
        <v>1</v>
      </c>
      <c r="B7" s="30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1">
        <f>SUM(C7*C$4+D7*D$4+E7*E$4+F7*F$4+G7*G$4+H7*H$4+I7*I$4+J7*J$4+K7*K$4+L7*L$4+M7*M$4+N7*N$4+O7*O$4+S7*6.8+T7*16+U7*2.5+V7*0.5+W7*2.2+X7*1.33+P7*$P$4+$R7*$R$4)</f>
        <v>0</v>
      </c>
      <c r="Z7" s="29"/>
      <c r="AA7" s="29"/>
      <c r="AB7" s="29"/>
      <c r="AC7" s="12">
        <f>AA7*Z7</f>
        <v>0</v>
      </c>
      <c r="AD7" s="12">
        <f>AB7*Z7</f>
        <v>0</v>
      </c>
      <c r="AE7" s="66">
        <f>IF(SUM(C7:X7,Z7:AB7)=0,"",IF(Q24&lt;&gt;"err","Parametry prawidłowe","Błąd: "&amp;IF($H24&lt;&gt;"OK",$H24,"")&amp;IF($I24&lt;&gt;"OK",$I24,"")&amp;IF($J24&lt;&gt;"OK",$J24,"")&amp;IF($K24&lt;&gt;"OK",$K24,"")&amp;IF($L24&lt;&gt;"OK",$L24,"")&amp;IF($M24&lt;&gt;"OK",$M24,"")&amp;IF($P24&lt;&gt;"OK",$P24,"")&amp;IF(AND($P24="OK",$O24&lt;&gt;"OK"),$O24,"")))</f>
      </c>
      <c r="AF7" s="67"/>
      <c r="AG7" s="68"/>
    </row>
    <row r="8" spans="1:33" ht="42" customHeight="1">
      <c r="A8" s="6">
        <v>2</v>
      </c>
      <c r="B8" s="30">
        <v>20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1">
        <f aca="true" t="shared" si="0" ref="Y8:Y14">SUM(C8*C$4+D8*D$4+E8*E$4+F8*F$4+G8*G$4+H8*H$4+I8*I$4+J8*J$4+K8*K$4+L8*L$4+M8*M$4+N8*N$4+O8*O$4+S8*6.8+T8*16+U8*2.5+V8*0.5+W8*2.2+X8*1.33+P8*$P$4+$R8*$R$4)</f>
        <v>0</v>
      </c>
      <c r="Z8" s="29"/>
      <c r="AA8" s="29"/>
      <c r="AB8" s="29"/>
      <c r="AC8" s="12">
        <f aca="true" t="shared" si="1" ref="AC8:AC14">AA8*Z8</f>
        <v>0</v>
      </c>
      <c r="AD8" s="12">
        <f aca="true" t="shared" si="2" ref="AD8:AD14">AB8*Z8</f>
        <v>0</v>
      </c>
      <c r="AE8" s="66">
        <f aca="true" t="shared" si="3" ref="AE8:AE14">IF(SUM(C8:X8,Z8:AB8)=0,"",IF(AND($H25=$T$22,$I25=$T$22,$J25=$T$22,$K25=$T$22,$L25=$T$22,$M25=$T$22,$O25=$T$22,$P25=$T$22),"Parametry prawidłowe","Błąd: "&amp;IF($H25&lt;&gt;"OK",$H25,"")&amp;IF($I25&lt;&gt;"OK",$I25,"")&amp;IF($J25&lt;&gt;"OK",$J25,"")&amp;IF($K25&lt;&gt;"OK",$K25,"")&amp;IF($L25&lt;&gt;"OK",$L25,"")&amp;IF($M25&lt;&gt;"OK",$M25,"")&amp;IF($P25&lt;&gt;"OK",$P25,"")&amp;IF(AND($P25="OK",$O25&lt;&gt;"OK"),$O25,"")))</f>
      </c>
      <c r="AF8" s="67"/>
      <c r="AG8" s="68"/>
    </row>
    <row r="9" spans="1:34" ht="42" customHeight="1">
      <c r="A9" s="6">
        <v>3</v>
      </c>
      <c r="B9" s="30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1">
        <f t="shared" si="0"/>
        <v>0</v>
      </c>
      <c r="Z9" s="29"/>
      <c r="AA9" s="29"/>
      <c r="AB9" s="29"/>
      <c r="AC9" s="12">
        <f t="shared" si="1"/>
        <v>0</v>
      </c>
      <c r="AD9" s="12">
        <f t="shared" si="2"/>
        <v>0</v>
      </c>
      <c r="AE9" s="66">
        <f t="shared" si="3"/>
      </c>
      <c r="AF9" s="67"/>
      <c r="AG9" s="68"/>
      <c r="AH9" s="22"/>
    </row>
    <row r="10" spans="1:33" ht="42" customHeight="1">
      <c r="A10" s="6">
        <v>4</v>
      </c>
      <c r="B10" s="30">
        <v>20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1">
        <f t="shared" si="0"/>
        <v>0</v>
      </c>
      <c r="Z10" s="29"/>
      <c r="AA10" s="29"/>
      <c r="AB10" s="29"/>
      <c r="AC10" s="12">
        <f t="shared" si="1"/>
        <v>0</v>
      </c>
      <c r="AD10" s="12">
        <f t="shared" si="2"/>
        <v>0</v>
      </c>
      <c r="AE10" s="66">
        <f t="shared" si="3"/>
      </c>
      <c r="AF10" s="67"/>
      <c r="AG10" s="68"/>
    </row>
    <row r="11" spans="1:33" ht="42" customHeight="1">
      <c r="A11" s="6">
        <v>5</v>
      </c>
      <c r="B11" s="30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1">
        <f t="shared" si="0"/>
        <v>0</v>
      </c>
      <c r="Z11" s="29"/>
      <c r="AA11" s="29"/>
      <c r="AB11" s="29"/>
      <c r="AC11" s="12">
        <f t="shared" si="1"/>
        <v>0</v>
      </c>
      <c r="AD11" s="12">
        <f t="shared" si="2"/>
        <v>0</v>
      </c>
      <c r="AE11" s="66">
        <f t="shared" si="3"/>
      </c>
      <c r="AF11" s="67"/>
      <c r="AG11" s="68"/>
    </row>
    <row r="12" spans="1:33" ht="42" customHeight="1">
      <c r="A12" s="6">
        <v>6</v>
      </c>
      <c r="B12" s="30">
        <v>20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1">
        <f t="shared" si="0"/>
        <v>0</v>
      </c>
      <c r="Z12" s="29"/>
      <c r="AA12" s="29"/>
      <c r="AB12" s="29"/>
      <c r="AC12" s="12">
        <f t="shared" si="1"/>
        <v>0</v>
      </c>
      <c r="AD12" s="12">
        <f t="shared" si="2"/>
        <v>0</v>
      </c>
      <c r="AE12" s="66">
        <f t="shared" si="3"/>
      </c>
      <c r="AF12" s="67"/>
      <c r="AG12" s="68"/>
    </row>
    <row r="13" spans="1:33" ht="42" customHeight="1">
      <c r="A13" s="6">
        <v>7</v>
      </c>
      <c r="B13" s="30">
        <v>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1">
        <f t="shared" si="0"/>
        <v>0</v>
      </c>
      <c r="Z13" s="29"/>
      <c r="AA13" s="29"/>
      <c r="AB13" s="29"/>
      <c r="AC13" s="12">
        <f t="shared" si="1"/>
        <v>0</v>
      </c>
      <c r="AD13" s="12">
        <f t="shared" si="2"/>
        <v>0</v>
      </c>
      <c r="AE13" s="66">
        <f t="shared" si="3"/>
      </c>
      <c r="AF13" s="67"/>
      <c r="AG13" s="68"/>
    </row>
    <row r="14" spans="1:33" ht="42" customHeight="1">
      <c r="A14" s="6">
        <v>8</v>
      </c>
      <c r="B14" s="30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1">
        <f t="shared" si="0"/>
        <v>0</v>
      </c>
      <c r="Z14" s="29"/>
      <c r="AA14" s="29"/>
      <c r="AB14" s="29"/>
      <c r="AC14" s="12">
        <f t="shared" si="1"/>
        <v>0</v>
      </c>
      <c r="AD14" s="12">
        <f t="shared" si="2"/>
        <v>0</v>
      </c>
      <c r="AE14" s="66">
        <f t="shared" si="3"/>
      </c>
      <c r="AF14" s="67"/>
      <c r="AG14" s="68"/>
    </row>
    <row r="15" spans="1:33" ht="42" customHeight="1">
      <c r="A15" s="77" t="s">
        <v>0</v>
      </c>
      <c r="B15" s="78"/>
      <c r="C15" s="23">
        <f>SUM(C7:C14)</f>
        <v>0</v>
      </c>
      <c r="D15" s="23">
        <f aca="true" t="shared" si="4" ref="D15:R15">SUM(D7:D14)</f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82">
        <f>SUM(S7:X14)</f>
        <v>0</v>
      </c>
      <c r="T15" s="83"/>
      <c r="U15" s="83"/>
      <c r="V15" s="83"/>
      <c r="W15" s="83"/>
      <c r="X15" s="84"/>
      <c r="Y15" s="24"/>
      <c r="Z15" s="25">
        <f>SUM(Z7:Z14)</f>
        <v>0</v>
      </c>
      <c r="AA15" s="26"/>
      <c r="AB15" s="26"/>
      <c r="AC15" s="26"/>
      <c r="AD15" s="26"/>
      <c r="AE15" s="79" t="str">
        <f>IF(AND(Q24=T22,Q25=T22,Q26=T22,Q27=T22,Q28=T22,Q29=T22,Q30=T22,Q31=T22),R23,"BŁĄD KONFIGURACJI")</f>
        <v>Parametry centrali prawidłowe</v>
      </c>
      <c r="AF15" s="80"/>
      <c r="AG15" s="81"/>
    </row>
    <row r="16" spans="1:33" ht="20.25" customHeight="1">
      <c r="A16" s="73" t="s">
        <v>18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3" ht="33" customHeight="1">
      <c r="A17" s="89" t="s">
        <v>20</v>
      </c>
      <c r="B17" s="89"/>
      <c r="C17" s="89"/>
      <c r="D17" s="53" t="s">
        <v>62</v>
      </c>
      <c r="E17" s="53"/>
      <c r="F17" s="53"/>
      <c r="G17" s="53"/>
      <c r="H17" s="53"/>
      <c r="I17" s="53"/>
      <c r="J17" s="53"/>
      <c r="K17" s="53"/>
      <c r="L17" s="89" t="s">
        <v>60</v>
      </c>
      <c r="M17" s="89"/>
      <c r="N17" s="89"/>
      <c r="O17" s="89"/>
      <c r="P17" s="89"/>
      <c r="Q17" s="89"/>
      <c r="R17" s="45" t="s">
        <v>59</v>
      </c>
      <c r="S17" s="46"/>
      <c r="T17" s="46"/>
      <c r="U17" s="46"/>
      <c r="V17" s="46"/>
      <c r="W17" s="46"/>
      <c r="X17" s="47"/>
      <c r="Y17" s="53" t="s">
        <v>56</v>
      </c>
      <c r="Z17" s="53"/>
      <c r="AA17" s="53"/>
      <c r="AB17" s="53"/>
      <c r="AC17" s="53"/>
      <c r="AD17" s="53"/>
      <c r="AE17" s="45" t="s">
        <v>55</v>
      </c>
      <c r="AF17" s="46"/>
      <c r="AG17" s="47"/>
    </row>
    <row r="18" spans="1:33" ht="18" customHeight="1">
      <c r="A18" s="53"/>
      <c r="B18" s="53"/>
      <c r="C18" s="53"/>
      <c r="D18" s="88" t="s">
        <v>63</v>
      </c>
      <c r="E18" s="88"/>
      <c r="F18" s="88"/>
      <c r="G18" s="88"/>
      <c r="H18" s="88"/>
      <c r="I18" s="88" t="s">
        <v>64</v>
      </c>
      <c r="J18" s="88"/>
      <c r="K18" s="88"/>
      <c r="L18" s="54" t="s">
        <v>57</v>
      </c>
      <c r="M18" s="54"/>
      <c r="N18" s="54"/>
      <c r="O18" s="54" t="s">
        <v>58</v>
      </c>
      <c r="P18" s="54"/>
      <c r="Q18" s="54"/>
      <c r="R18" s="87" t="s">
        <v>57</v>
      </c>
      <c r="S18" s="48"/>
      <c r="T18" s="48"/>
      <c r="U18" s="49"/>
      <c r="V18" s="54" t="s">
        <v>58</v>
      </c>
      <c r="W18" s="54"/>
      <c r="X18" s="54"/>
      <c r="Y18" s="87" t="s">
        <v>61</v>
      </c>
      <c r="Z18" s="48"/>
      <c r="AA18" s="48"/>
      <c r="AB18" s="48"/>
      <c r="AC18" s="48"/>
      <c r="AD18" s="49"/>
      <c r="AE18" s="93" t="s">
        <v>54</v>
      </c>
      <c r="AF18" s="94"/>
      <c r="AG18" s="95"/>
    </row>
    <row r="19" spans="1:33" s="36" customFormat="1" ht="9.75" customHeight="1">
      <c r="A19" s="85">
        <v>30</v>
      </c>
      <c r="B19" s="85"/>
      <c r="C19" s="85"/>
      <c r="D19" s="85">
        <v>31</v>
      </c>
      <c r="E19" s="85"/>
      <c r="F19" s="85"/>
      <c r="G19" s="85"/>
      <c r="H19" s="85"/>
      <c r="I19" s="85">
        <v>32</v>
      </c>
      <c r="J19" s="85"/>
      <c r="K19" s="85"/>
      <c r="L19" s="85">
        <v>33</v>
      </c>
      <c r="M19" s="85"/>
      <c r="N19" s="85"/>
      <c r="O19" s="85">
        <v>34</v>
      </c>
      <c r="P19" s="85"/>
      <c r="Q19" s="85"/>
      <c r="R19" s="69">
        <v>35</v>
      </c>
      <c r="S19" s="70"/>
      <c r="T19" s="70"/>
      <c r="U19" s="71"/>
      <c r="V19" s="85">
        <v>36</v>
      </c>
      <c r="W19" s="85"/>
      <c r="X19" s="85"/>
      <c r="Y19" s="69">
        <v>37</v>
      </c>
      <c r="Z19" s="70"/>
      <c r="AA19" s="70"/>
      <c r="AB19" s="70"/>
      <c r="AC19" s="70"/>
      <c r="AD19" s="71"/>
      <c r="AE19" s="69">
        <v>38</v>
      </c>
      <c r="AF19" s="70"/>
      <c r="AG19" s="71"/>
    </row>
    <row r="20" spans="1:33" ht="32.25" customHeight="1">
      <c r="A20" s="90">
        <f>COUNTIF(Y7:Y14,"&gt;0")</f>
        <v>0</v>
      </c>
      <c r="B20" s="90"/>
      <c r="C20" s="90"/>
      <c r="D20" s="91"/>
      <c r="E20" s="91"/>
      <c r="F20" s="91"/>
      <c r="G20" s="91"/>
      <c r="H20" s="91"/>
      <c r="I20" s="92"/>
      <c r="J20" s="92"/>
      <c r="K20" s="92"/>
      <c r="L20" s="72"/>
      <c r="M20" s="72"/>
      <c r="N20" s="72"/>
      <c r="O20" s="72"/>
      <c r="P20" s="72"/>
      <c r="Q20" s="72"/>
      <c r="R20" s="102">
        <f>AD32+L20</f>
        <v>0.32</v>
      </c>
      <c r="S20" s="103"/>
      <c r="T20" s="103"/>
      <c r="U20" s="104"/>
      <c r="V20" s="86">
        <f>AE32+O20+D20*0.5+I20*0.1</f>
        <v>0.5</v>
      </c>
      <c r="W20" s="86"/>
      <c r="X20" s="86"/>
      <c r="Y20" s="99"/>
      <c r="Z20" s="100"/>
      <c r="AA20" s="100"/>
      <c r="AB20" s="100"/>
      <c r="AC20" s="100"/>
      <c r="AD20" s="101"/>
      <c r="AE20" s="96">
        <f>1.2*(R20*Y20+0.5*V20)</f>
        <v>0.3</v>
      </c>
      <c r="AF20" s="97"/>
      <c r="AG20" s="98"/>
    </row>
    <row r="21" spans="4:32" ht="12.75" hidden="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ht="12.75" hidden="1">
      <c r="B22" s="76"/>
      <c r="C22" s="76"/>
      <c r="D22" s="33"/>
      <c r="E22" s="33"/>
      <c r="F22" s="33"/>
      <c r="G22" s="33"/>
      <c r="H22" s="33" t="s">
        <v>38</v>
      </c>
      <c r="I22" s="34">
        <f>SUM(C7:X7)</f>
        <v>0</v>
      </c>
      <c r="J22" s="33"/>
      <c r="K22" s="33"/>
      <c r="L22" s="33"/>
      <c r="M22" s="33" t="str">
        <f>IF(I22&gt;127,"przekroczono "&amp;V22&amp;"linii",AA22)</f>
        <v>Parametry prawidłowe</v>
      </c>
      <c r="N22" s="33"/>
      <c r="O22" s="33"/>
      <c r="P22" s="33"/>
      <c r="Q22" s="33"/>
      <c r="R22" s="33"/>
      <c r="S22" s="33"/>
      <c r="T22" s="33" t="s">
        <v>39</v>
      </c>
      <c r="U22" s="33"/>
      <c r="V22" s="33" t="s">
        <v>41</v>
      </c>
      <c r="W22" s="33" t="s">
        <v>40</v>
      </c>
      <c r="X22" s="33" t="s">
        <v>42</v>
      </c>
      <c r="Y22" s="33" t="s">
        <v>46</v>
      </c>
      <c r="Z22" s="33"/>
      <c r="AA22" s="33" t="s">
        <v>32</v>
      </c>
      <c r="AB22" s="33"/>
      <c r="AC22" s="33"/>
      <c r="AD22" s="32">
        <f>IF($A$20&gt;4,0.16,0.08)</f>
        <v>0.08</v>
      </c>
      <c r="AE22" s="32">
        <f>IF($A$20&gt;4,0.16,0.08)</f>
        <v>0.08</v>
      </c>
      <c r="AF22" s="32"/>
    </row>
    <row r="23" spans="8:32" ht="12.75" hidden="1">
      <c r="H23" s="19" t="s">
        <v>75</v>
      </c>
      <c r="I23" s="3" t="s">
        <v>76</v>
      </c>
      <c r="J23" s="3" t="s">
        <v>77</v>
      </c>
      <c r="K23" s="3" t="s">
        <v>78</v>
      </c>
      <c r="L23" s="3" t="s">
        <v>29</v>
      </c>
      <c r="M23" s="3" t="s">
        <v>30</v>
      </c>
      <c r="N23" s="3" t="s">
        <v>67</v>
      </c>
      <c r="O23" s="3" t="s">
        <v>79</v>
      </c>
      <c r="P23" s="3" t="s">
        <v>80</v>
      </c>
      <c r="Q23" s="3" t="s">
        <v>38</v>
      </c>
      <c r="R23" s="33" t="str">
        <f>IF(OR(R15&gt;B39,$N15&gt;$B$36,$O$15&gt;$B$37,$M$15&gt;$B$35,L15&gt;B38,Q32&lt;&gt;"OK"),"Przekroczono "&amp;$Z$23&amp;"w centrali","Parametry centrali prawidłowe")</f>
        <v>Parametry centrali prawidłowe</v>
      </c>
      <c r="S23" s="33"/>
      <c r="T23" s="33"/>
      <c r="U23" s="33"/>
      <c r="V23" s="33" t="s">
        <v>66</v>
      </c>
      <c r="W23" s="33" t="s">
        <v>65</v>
      </c>
      <c r="X23" s="33" t="s">
        <v>47</v>
      </c>
      <c r="Y23" s="33" t="s">
        <v>48</v>
      </c>
      <c r="Z23" s="27">
        <f>IF(N15&gt;B36,"ilość EWS, ","")&amp;IF(O15&gt;B37,"ilość EWK, ","")&amp;IF(L15&gt;B38,"ilość SAL, ","")&amp;IF(M15&gt;B35,"ilość EKS, ","")&amp;IF(O20&gt;S31,"prąd urządzeń zewnętrznych ","")&amp;IF(R15&gt;B37,"ilość UCS, ","")</f>
      </c>
      <c r="AA23" s="33"/>
      <c r="AB23" s="33"/>
      <c r="AC23" s="33"/>
      <c r="AD23" s="32">
        <f>IF(Y7=0,0,IF($B7=20,0.025,IF($B7=22,0.032,IF($B7=50,0.06,""))))</f>
        <v>0</v>
      </c>
      <c r="AE23" s="32">
        <f aca="true" t="shared" si="5" ref="AE23:AE30">IF($Y7=0,0,IF($B7=20,0.025,IF($B7=22,0.032,IF($B7=50,0.06,""))))</f>
        <v>0</v>
      </c>
      <c r="AF23" s="32"/>
    </row>
    <row r="24" spans="4:32" ht="12.75" hidden="1">
      <c r="D24" s="33"/>
      <c r="E24" s="33"/>
      <c r="F24" s="33"/>
      <c r="G24" s="32"/>
      <c r="H24" s="33" t="str">
        <f aca="true" t="shared" si="6" ref="H24:H31">IF(SUM(C7:X7)&gt;$I$33,$V$22,"OK")</f>
        <v>OK</v>
      </c>
      <c r="I24" s="33" t="str">
        <f aca="true" t="shared" si="7" ref="I24:I31">IF($Y7&gt;$B7,$W$22,"OK")</f>
        <v>OK</v>
      </c>
      <c r="J24" s="33" t="str">
        <f aca="true" t="shared" si="8" ref="J24:J31">IF($AC7&gt;$T$34,$Y$22,"OK")</f>
        <v>OK</v>
      </c>
      <c r="K24" s="33" t="str">
        <f aca="true" t="shared" si="9" ref="K24:K31">IF($AD7&gt;$J$35,$X$22,"OK")</f>
        <v>OK</v>
      </c>
      <c r="L24" s="33" t="str">
        <f aca="true" t="shared" si="10" ref="L24:L31">IF($N7&gt;$G$36,$V$23,"OK")</f>
        <v>OK</v>
      </c>
      <c r="M24" s="33" t="str">
        <f aca="true" t="shared" si="11" ref="M24:M31">IF($O7&gt;$G$37,$W$23,"OK")</f>
        <v>OK</v>
      </c>
      <c r="N24" s="33" t="str">
        <f>IF($R7&gt;$G$39,$W$23,"OK")</f>
        <v>OK</v>
      </c>
      <c r="O24" s="34" t="str">
        <f aca="true" t="shared" si="12" ref="O24:O31">IF($P7*16&gt;=$Q7,"OK",$X$23)</f>
        <v>OK</v>
      </c>
      <c r="P24" s="32" t="str">
        <f aca="true" t="shared" si="13" ref="P24:P31">IF(AND(Q7&gt;0,P7=0),$Y$23,"OK")</f>
        <v>OK</v>
      </c>
      <c r="Q24" s="32" t="str">
        <f>IF(AND(N24=$T$22,H24=$T$22,I24=$T$22,J24=$T$22,K24=$T$22,L24=$T$22,M24=$T$22,O24=$T$22,P24=$T$22),"OK","err")</f>
        <v>OK</v>
      </c>
      <c r="R24" s="33"/>
      <c r="S24" s="33"/>
      <c r="T24" s="33" t="str">
        <f>IF(OR(AE7&lt;&gt;"",AE8&lt;&gt;"",AE9&lt;&gt;"",AE10&lt;&gt;"",AE11&lt;&gt;"",AE12&lt;&gt;"",AE13&lt;&gt;"",AE14&lt;&gt;"",AE7&lt;&gt;AA22,AE8&lt;&gt;AA22,AE9&lt;&gt;AA22,AE10&lt;&gt;AA22,AE11&lt;&gt;AA22,AE12&lt;&gt;AA22,AE13&lt;&gt;AA22,AE14&lt;&gt;AA22,),"cos","OK")</f>
        <v>cos</v>
      </c>
      <c r="U24" s="33"/>
      <c r="V24" s="33" t="s">
        <v>74</v>
      </c>
      <c r="W24" s="33"/>
      <c r="X24" s="33"/>
      <c r="Y24" s="33"/>
      <c r="Z24" s="33"/>
      <c r="AA24" s="33"/>
      <c r="AB24" s="33"/>
      <c r="AC24" s="33"/>
      <c r="AD24" s="32">
        <f aca="true" t="shared" si="14" ref="AD24:AD30">IF(Y8=0,0,IF($B8=20,0.025,IF($B8=22,0.032,IF($B8=50,0.06,""))))</f>
        <v>0</v>
      </c>
      <c r="AE24" s="32">
        <f t="shared" si="5"/>
        <v>0</v>
      </c>
      <c r="AF24" s="32"/>
    </row>
    <row r="25" spans="3:32" ht="12.75" hidden="1">
      <c r="C25" s="16"/>
      <c r="D25" s="33"/>
      <c r="E25" s="33"/>
      <c r="F25" s="33"/>
      <c r="G25" s="33"/>
      <c r="H25" s="33" t="str">
        <f t="shared" si="6"/>
        <v>OK</v>
      </c>
      <c r="I25" s="33" t="str">
        <f t="shared" si="7"/>
        <v>OK</v>
      </c>
      <c r="J25" s="33" t="str">
        <f t="shared" si="8"/>
        <v>OK</v>
      </c>
      <c r="K25" s="33" t="str">
        <f t="shared" si="9"/>
        <v>OK</v>
      </c>
      <c r="L25" s="33" t="str">
        <f t="shared" si="10"/>
        <v>OK</v>
      </c>
      <c r="M25" s="33" t="str">
        <f t="shared" si="11"/>
        <v>OK</v>
      </c>
      <c r="N25" s="33" t="str">
        <f aca="true" t="shared" si="15" ref="N25:N31">IF($R8&gt;$G$39,$W$23,"OK")</f>
        <v>OK</v>
      </c>
      <c r="O25" s="34" t="str">
        <f t="shared" si="12"/>
        <v>OK</v>
      </c>
      <c r="P25" s="32" t="str">
        <f t="shared" si="13"/>
        <v>OK</v>
      </c>
      <c r="Q25" s="32" t="str">
        <f aca="true" t="shared" si="16" ref="Q25:Q31">IF(AND(H25=$T$22,I25=$T$22,J25=$T$22,K25=$T$22,L25=$T$22,M25=$T$22,O25=$T$22,P25=$T$22),"OK","err")</f>
        <v>OK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2">
        <f t="shared" si="14"/>
        <v>0</v>
      </c>
      <c r="AE25" s="32">
        <f t="shared" si="5"/>
        <v>0</v>
      </c>
      <c r="AF25" s="32"/>
    </row>
    <row r="26" spans="3:32" ht="12.75" hidden="1">
      <c r="C26" s="16"/>
      <c r="D26" s="33"/>
      <c r="E26" s="33"/>
      <c r="F26" s="33"/>
      <c r="G26" s="33"/>
      <c r="H26" s="33" t="str">
        <f t="shared" si="6"/>
        <v>OK</v>
      </c>
      <c r="I26" s="33" t="str">
        <f t="shared" si="7"/>
        <v>OK</v>
      </c>
      <c r="J26" s="33" t="str">
        <f t="shared" si="8"/>
        <v>OK</v>
      </c>
      <c r="K26" s="33" t="str">
        <f t="shared" si="9"/>
        <v>OK</v>
      </c>
      <c r="L26" s="33" t="str">
        <f t="shared" si="10"/>
        <v>OK</v>
      </c>
      <c r="M26" s="33" t="str">
        <f t="shared" si="11"/>
        <v>OK</v>
      </c>
      <c r="N26" s="33" t="str">
        <f t="shared" si="15"/>
        <v>OK</v>
      </c>
      <c r="O26" s="34" t="str">
        <f t="shared" si="12"/>
        <v>OK</v>
      </c>
      <c r="P26" s="32" t="str">
        <f t="shared" si="13"/>
        <v>OK</v>
      </c>
      <c r="Q26" s="32" t="str">
        <f t="shared" si="16"/>
        <v>OK</v>
      </c>
      <c r="R26" s="33"/>
      <c r="S26" s="27" t="str">
        <f>IF(D20&lt;&gt;0,D20*0.5,"x")</f>
        <v>x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2">
        <f t="shared" si="14"/>
        <v>0</v>
      </c>
      <c r="AE26" s="32">
        <f t="shared" si="5"/>
        <v>0</v>
      </c>
      <c r="AF26" s="32"/>
    </row>
    <row r="27" spans="3:32" ht="12.75" hidden="1">
      <c r="C27" s="16"/>
      <c r="D27" s="33"/>
      <c r="E27" s="33"/>
      <c r="F27" s="33"/>
      <c r="G27" s="33"/>
      <c r="H27" s="33" t="str">
        <f t="shared" si="6"/>
        <v>OK</v>
      </c>
      <c r="I27" s="33" t="str">
        <f t="shared" si="7"/>
        <v>OK</v>
      </c>
      <c r="J27" s="33" t="str">
        <f t="shared" si="8"/>
        <v>OK</v>
      </c>
      <c r="K27" s="33" t="str">
        <f t="shared" si="9"/>
        <v>OK</v>
      </c>
      <c r="L27" s="33" t="str">
        <f t="shared" si="10"/>
        <v>OK</v>
      </c>
      <c r="M27" s="33" t="str">
        <f t="shared" si="11"/>
        <v>OK</v>
      </c>
      <c r="N27" s="33" t="str">
        <f t="shared" si="15"/>
        <v>OK</v>
      </c>
      <c r="O27" s="34" t="str">
        <f t="shared" si="12"/>
        <v>OK</v>
      </c>
      <c r="P27" s="32" t="str">
        <f t="shared" si="13"/>
        <v>OK</v>
      </c>
      <c r="Q27" s="32" t="str">
        <f t="shared" si="16"/>
        <v>OK</v>
      </c>
      <c r="R27" s="33"/>
      <c r="S27" s="27" t="str">
        <f>IF(I20&lt;&gt;0,I20*0.1,"x")</f>
        <v>x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2">
        <f t="shared" si="14"/>
        <v>0</v>
      </c>
      <c r="AE27" s="32">
        <f t="shared" si="5"/>
        <v>0</v>
      </c>
      <c r="AF27" s="32"/>
    </row>
    <row r="28" spans="3:32" ht="12.75" hidden="1">
      <c r="C28" s="16"/>
      <c r="D28" s="33"/>
      <c r="E28" s="33"/>
      <c r="F28" s="33"/>
      <c r="G28" s="33"/>
      <c r="H28" s="33" t="str">
        <f t="shared" si="6"/>
        <v>OK</v>
      </c>
      <c r="I28" s="33" t="str">
        <f t="shared" si="7"/>
        <v>OK</v>
      </c>
      <c r="J28" s="33" t="str">
        <f t="shared" si="8"/>
        <v>OK</v>
      </c>
      <c r="K28" s="33" t="str">
        <f t="shared" si="9"/>
        <v>OK</v>
      </c>
      <c r="L28" s="33" t="str">
        <f t="shared" si="10"/>
        <v>OK</v>
      </c>
      <c r="M28" s="33" t="str">
        <f t="shared" si="11"/>
        <v>OK</v>
      </c>
      <c r="N28" s="33" t="str">
        <f t="shared" si="15"/>
        <v>OK</v>
      </c>
      <c r="O28" s="34" t="str">
        <f t="shared" si="12"/>
        <v>OK</v>
      </c>
      <c r="P28" s="32" t="str">
        <f t="shared" si="13"/>
        <v>OK</v>
      </c>
      <c r="Q28" s="32" t="str">
        <f t="shared" si="16"/>
        <v>OK</v>
      </c>
      <c r="R28" s="33"/>
      <c r="S28" s="33" t="str">
        <f>IF(OR(D20=2,AND(D20=1,I20=5)),"max","OK")</f>
        <v>OK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2">
        <f t="shared" si="14"/>
        <v>0</v>
      </c>
      <c r="AE28" s="32">
        <f t="shared" si="5"/>
        <v>0</v>
      </c>
      <c r="AF28" s="32"/>
    </row>
    <row r="29" spans="3:32" ht="12.75" hidden="1">
      <c r="C29" s="16"/>
      <c r="D29" s="33"/>
      <c r="E29" s="33"/>
      <c r="F29" s="33"/>
      <c r="G29" s="33"/>
      <c r="H29" s="33" t="str">
        <f t="shared" si="6"/>
        <v>OK</v>
      </c>
      <c r="I29" s="33" t="str">
        <f t="shared" si="7"/>
        <v>OK</v>
      </c>
      <c r="J29" s="33" t="str">
        <f t="shared" si="8"/>
        <v>OK</v>
      </c>
      <c r="K29" s="33" t="str">
        <f t="shared" si="9"/>
        <v>OK</v>
      </c>
      <c r="L29" s="33" t="str">
        <f t="shared" si="10"/>
        <v>OK</v>
      </c>
      <c r="M29" s="33" t="str">
        <f t="shared" si="11"/>
        <v>OK</v>
      </c>
      <c r="N29" s="33" t="str">
        <f t="shared" si="15"/>
        <v>OK</v>
      </c>
      <c r="O29" s="34" t="str">
        <f t="shared" si="12"/>
        <v>OK</v>
      </c>
      <c r="P29" s="32" t="str">
        <f t="shared" si="13"/>
        <v>OK</v>
      </c>
      <c r="Q29" s="32" t="str">
        <f t="shared" si="16"/>
        <v>OK</v>
      </c>
      <c r="R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2">
        <f t="shared" si="14"/>
        <v>0</v>
      </c>
      <c r="AE29" s="32">
        <f t="shared" si="5"/>
        <v>0</v>
      </c>
      <c r="AF29" s="32"/>
    </row>
    <row r="30" spans="3:32" ht="12.75" hidden="1">
      <c r="C30" s="16"/>
      <c r="D30" s="33"/>
      <c r="E30" s="33"/>
      <c r="F30" s="33"/>
      <c r="G30" s="33"/>
      <c r="H30" s="33" t="str">
        <f t="shared" si="6"/>
        <v>OK</v>
      </c>
      <c r="I30" s="33" t="str">
        <f t="shared" si="7"/>
        <v>OK</v>
      </c>
      <c r="J30" s="33" t="str">
        <f t="shared" si="8"/>
        <v>OK</v>
      </c>
      <c r="K30" s="33" t="str">
        <f t="shared" si="9"/>
        <v>OK</v>
      </c>
      <c r="L30" s="33" t="str">
        <f t="shared" si="10"/>
        <v>OK</v>
      </c>
      <c r="M30" s="33" t="str">
        <f t="shared" si="11"/>
        <v>OK</v>
      </c>
      <c r="N30" s="33" t="str">
        <f t="shared" si="15"/>
        <v>OK</v>
      </c>
      <c r="O30" s="34" t="str">
        <f t="shared" si="12"/>
        <v>OK</v>
      </c>
      <c r="P30" s="32" t="str">
        <f t="shared" si="13"/>
        <v>OK</v>
      </c>
      <c r="Q30" s="32" t="str">
        <f t="shared" si="16"/>
        <v>OK</v>
      </c>
      <c r="R30" s="33"/>
      <c r="S30" s="33">
        <f>D20*0.5+I20*0.1+O20</f>
        <v>0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2">
        <f t="shared" si="14"/>
        <v>0</v>
      </c>
      <c r="AE30" s="32">
        <f t="shared" si="5"/>
        <v>0</v>
      </c>
      <c r="AF30" s="32"/>
    </row>
    <row r="31" spans="3:32" ht="12.75" hidden="1">
      <c r="C31" s="16"/>
      <c r="D31" s="33"/>
      <c r="E31" s="33"/>
      <c r="F31" s="33"/>
      <c r="G31" s="33"/>
      <c r="H31" s="33" t="str">
        <f t="shared" si="6"/>
        <v>OK</v>
      </c>
      <c r="I31" s="33" t="str">
        <f t="shared" si="7"/>
        <v>OK</v>
      </c>
      <c r="J31" s="33" t="str">
        <f t="shared" si="8"/>
        <v>OK</v>
      </c>
      <c r="K31" s="33" t="str">
        <f t="shared" si="9"/>
        <v>OK</v>
      </c>
      <c r="L31" s="33" t="str">
        <f t="shared" si="10"/>
        <v>OK</v>
      </c>
      <c r="M31" s="33" t="str">
        <f t="shared" si="11"/>
        <v>OK</v>
      </c>
      <c r="N31" s="33" t="str">
        <f t="shared" si="15"/>
        <v>OK</v>
      </c>
      <c r="O31" s="34" t="str">
        <f t="shared" si="12"/>
        <v>OK</v>
      </c>
      <c r="P31" s="32" t="str">
        <f t="shared" si="13"/>
        <v>OK</v>
      </c>
      <c r="Q31" s="32" t="str">
        <f t="shared" si="16"/>
        <v>OK</v>
      </c>
      <c r="R31" s="33"/>
      <c r="S31" s="33">
        <f>B40-S30</f>
        <v>1</v>
      </c>
      <c r="T31" s="33">
        <f>(D20*0.5+I20*0.1)</f>
        <v>0</v>
      </c>
      <c r="U31" s="33"/>
      <c r="V31" s="33"/>
      <c r="W31" s="33"/>
      <c r="X31" s="33"/>
      <c r="Y31" s="33"/>
      <c r="Z31" s="33"/>
      <c r="AA31" s="33"/>
      <c r="AB31" s="33" t="s">
        <v>50</v>
      </c>
      <c r="AC31" s="32"/>
      <c r="AD31" s="32"/>
      <c r="AE31" s="32"/>
      <c r="AF31" s="32" t="s">
        <v>53</v>
      </c>
    </row>
    <row r="32" spans="3:32" ht="12.75" hidden="1">
      <c r="C32" s="16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str">
        <f>IF(S30&gt;B40,"prąd urządzeń zewnętrznych","OK")</f>
        <v>OK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f>0.24+SUM(AD22:AD31)</f>
        <v>0.32</v>
      </c>
      <c r="AE32" s="32">
        <f>0.42+SUM(AE22:AE31)</f>
        <v>0.5</v>
      </c>
      <c r="AF32" s="32"/>
    </row>
    <row r="33" spans="2:32" ht="12.75" hidden="1">
      <c r="B33" s="3" t="s">
        <v>35</v>
      </c>
      <c r="D33" s="32"/>
      <c r="E33" s="32"/>
      <c r="F33" s="32"/>
      <c r="G33" s="32"/>
      <c r="H33" s="32"/>
      <c r="I33" s="32">
        <v>127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 t="s">
        <v>51</v>
      </c>
      <c r="AE33" s="32" t="s">
        <v>52</v>
      </c>
      <c r="AF33" s="32"/>
    </row>
    <row r="34" spans="2:32" ht="12.75" hidden="1">
      <c r="B34" s="3" t="s">
        <v>34</v>
      </c>
      <c r="D34" s="32"/>
      <c r="E34" s="32"/>
      <c r="F34" s="32"/>
      <c r="G34" s="32" t="s">
        <v>33</v>
      </c>
      <c r="H34" s="32"/>
      <c r="I34" s="32"/>
      <c r="J34" s="32" t="s">
        <v>36</v>
      </c>
      <c r="K34" s="32"/>
      <c r="L34" s="32"/>
      <c r="M34" s="32" t="s">
        <v>37</v>
      </c>
      <c r="N34" s="32"/>
      <c r="O34" s="32"/>
      <c r="P34" s="32"/>
      <c r="Q34" s="32"/>
      <c r="R34" s="32"/>
      <c r="S34" s="32"/>
      <c r="T34" s="32">
        <f>VLOOKUP(B7,M35:O37,3)</f>
        <v>100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2.75" hidden="1">
      <c r="A35" s="3" t="s">
        <v>5</v>
      </c>
      <c r="B35" s="3">
        <v>250</v>
      </c>
      <c r="D35" s="32"/>
      <c r="E35" s="32"/>
      <c r="F35" s="32"/>
      <c r="G35" s="32"/>
      <c r="H35" s="32"/>
      <c r="I35" s="32"/>
      <c r="J35" s="32">
        <v>300</v>
      </c>
      <c r="K35" s="32"/>
      <c r="L35" s="32"/>
      <c r="M35" s="32">
        <v>20</v>
      </c>
      <c r="N35" s="32"/>
      <c r="O35" s="32">
        <v>100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2.75" hidden="1">
      <c r="A36" s="3" t="s">
        <v>29</v>
      </c>
      <c r="B36" s="3">
        <v>100</v>
      </c>
      <c r="D36" s="32"/>
      <c r="E36" s="32"/>
      <c r="F36" s="32"/>
      <c r="G36" s="32">
        <v>20</v>
      </c>
      <c r="H36" s="32"/>
      <c r="I36" s="32"/>
      <c r="J36" s="32"/>
      <c r="K36" s="32"/>
      <c r="L36" s="32"/>
      <c r="M36" s="32">
        <v>22</v>
      </c>
      <c r="N36" s="32"/>
      <c r="O36" s="32">
        <v>75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2.75" hidden="1">
      <c r="A37" s="3" t="s">
        <v>30</v>
      </c>
      <c r="B37" s="3">
        <v>100</v>
      </c>
      <c r="D37" s="32"/>
      <c r="E37" s="32"/>
      <c r="F37" s="32"/>
      <c r="G37" s="32">
        <v>20</v>
      </c>
      <c r="H37" s="32"/>
      <c r="I37" s="32"/>
      <c r="J37" s="32"/>
      <c r="K37" s="32"/>
      <c r="L37" s="32"/>
      <c r="M37" s="32">
        <v>50</v>
      </c>
      <c r="N37" s="32"/>
      <c r="O37" s="32">
        <v>45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2.75" hidden="1">
      <c r="A38" s="3" t="s">
        <v>28</v>
      </c>
      <c r="B38" s="3">
        <v>250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3.5" customHeight="1" hidden="1">
      <c r="A39" s="3" t="s">
        <v>67</v>
      </c>
      <c r="B39" s="3">
        <v>100</v>
      </c>
      <c r="D39" s="32"/>
      <c r="E39" s="32"/>
      <c r="F39" s="32"/>
      <c r="G39" s="32">
        <v>20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27" ht="12.75" hidden="1">
      <c r="B40" s="3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0:27" ht="12.75" hidden="1"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0:27" ht="12.75" hidden="1"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0:27" ht="12.75"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0:27" ht="12.75"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0:27" ht="12.75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0:27" ht="12.75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</sheetData>
  <sheetProtection/>
  <mergeCells count="59">
    <mergeCell ref="D20:H20"/>
    <mergeCell ref="I20:K20"/>
    <mergeCell ref="AE17:AG17"/>
    <mergeCell ref="AE18:AG18"/>
    <mergeCell ref="AE19:AG19"/>
    <mergeCell ref="AE20:AG20"/>
    <mergeCell ref="Y18:AD18"/>
    <mergeCell ref="Y19:AD19"/>
    <mergeCell ref="Y20:AD20"/>
    <mergeCell ref="R20:U20"/>
    <mergeCell ref="A17:C17"/>
    <mergeCell ref="A18:C18"/>
    <mergeCell ref="A19:C19"/>
    <mergeCell ref="A20:C20"/>
    <mergeCell ref="D18:H18"/>
    <mergeCell ref="I18:K18"/>
    <mergeCell ref="L19:N19"/>
    <mergeCell ref="L17:Q17"/>
    <mergeCell ref="D17:K17"/>
    <mergeCell ref="D19:H19"/>
    <mergeCell ref="I19:K19"/>
    <mergeCell ref="L18:N18"/>
    <mergeCell ref="R17:X17"/>
    <mergeCell ref="O20:Q20"/>
    <mergeCell ref="O19:Q19"/>
    <mergeCell ref="O18:Q18"/>
    <mergeCell ref="V20:X20"/>
    <mergeCell ref="V19:X19"/>
    <mergeCell ref="R18:U18"/>
    <mergeCell ref="R19:U19"/>
    <mergeCell ref="L20:N20"/>
    <mergeCell ref="A16:AG16"/>
    <mergeCell ref="B22:C22"/>
    <mergeCell ref="AE13:AG13"/>
    <mergeCell ref="A15:B15"/>
    <mergeCell ref="AE14:AG14"/>
    <mergeCell ref="AE15:AG15"/>
    <mergeCell ref="S15:X15"/>
    <mergeCell ref="Y17:AD17"/>
    <mergeCell ref="V18:X18"/>
    <mergeCell ref="AE11:AG11"/>
    <mergeCell ref="AE12:AG12"/>
    <mergeCell ref="AE7:AG7"/>
    <mergeCell ref="AE8:AG8"/>
    <mergeCell ref="AE9:AG9"/>
    <mergeCell ref="AA4:AA5"/>
    <mergeCell ref="AB4:AB5"/>
    <mergeCell ref="AE10:AG10"/>
    <mergeCell ref="AE6:AG6"/>
    <mergeCell ref="A2:AG2"/>
    <mergeCell ref="Z3:AB3"/>
    <mergeCell ref="A3:A5"/>
    <mergeCell ref="C3:X3"/>
    <mergeCell ref="S4:X4"/>
    <mergeCell ref="AE3:AG5"/>
    <mergeCell ref="AC3:AC5"/>
    <mergeCell ref="AD3:AD5"/>
    <mergeCell ref="Y3:Y5"/>
    <mergeCell ref="Z4:Z5"/>
  </mergeCells>
  <conditionalFormatting sqref="AD7:AD14">
    <cfRule type="cellIs" priority="1" dxfId="0" operator="greaterThan" stopIfTrue="1">
      <formula>300</formula>
    </cfRule>
    <cfRule type="cellIs" priority="2" dxfId="1" operator="lessThanOrEqual" stopIfTrue="1">
      <formula>300</formula>
    </cfRule>
  </conditionalFormatting>
  <conditionalFormatting sqref="AE7:AG14">
    <cfRule type="cellIs" priority="3" dxfId="1" operator="equal" stopIfTrue="1">
      <formula>"Parametry prawidłowe"</formula>
    </cfRule>
    <cfRule type="cellIs" priority="4" dxfId="0" operator="notEqual" stopIfTrue="1">
      <formula>"Parametry prawidłowe"</formula>
    </cfRule>
  </conditionalFormatting>
  <conditionalFormatting sqref="AC7:AC14">
    <cfRule type="cellIs" priority="5" dxfId="0" operator="greaterThan" stopIfTrue="1">
      <formula>$T$34</formula>
    </cfRule>
    <cfRule type="cellIs" priority="6" dxfId="1" operator="lessThanOrEqual" stopIfTrue="1">
      <formula>$T$34</formula>
    </cfRule>
  </conditionalFormatting>
  <conditionalFormatting sqref="N7:O14">
    <cfRule type="cellIs" priority="7" dxfId="0" operator="greaterThan" stopIfTrue="1">
      <formula>20</formula>
    </cfRule>
  </conditionalFormatting>
  <conditionalFormatting sqref="AE15:AG15">
    <cfRule type="cellIs" priority="8" dxfId="1" operator="equal" stopIfTrue="1">
      <formula>"Parametry centrali prawidłowe"</formula>
    </cfRule>
    <cfRule type="cellIs" priority="9" dxfId="0" operator="notEqual" stopIfTrue="1">
      <formula>"Parametry prawidłowe"</formula>
    </cfRule>
  </conditionalFormatting>
  <conditionalFormatting sqref="Y7:Y14">
    <cfRule type="cellIs" priority="10" dxfId="2" operator="greaterThan" stopIfTrue="1">
      <formula>$B7</formula>
    </cfRule>
    <cfRule type="cellIs" priority="11" dxfId="3" operator="lessThanOrEqual" stopIfTrue="1">
      <formula>$B7</formula>
    </cfRule>
  </conditionalFormatting>
  <conditionalFormatting sqref="D20:K20">
    <cfRule type="expression" priority="12" dxfId="0" stopIfTrue="1">
      <formula>$S$31&lt;0</formula>
    </cfRule>
  </conditionalFormatting>
  <conditionalFormatting sqref="N15">
    <cfRule type="cellIs" priority="13" dxfId="0" operator="greaterThan" stopIfTrue="1">
      <formula>$B$36</formula>
    </cfRule>
  </conditionalFormatting>
  <conditionalFormatting sqref="O15">
    <cfRule type="cellIs" priority="14" dxfId="0" operator="greaterThan" stopIfTrue="1">
      <formula>$B$37</formula>
    </cfRule>
  </conditionalFormatting>
  <conditionalFormatting sqref="L15">
    <cfRule type="cellIs" priority="15" dxfId="0" operator="greaterThan" stopIfTrue="1">
      <formula>$B$38</formula>
    </cfRule>
  </conditionalFormatting>
  <conditionalFormatting sqref="M15">
    <cfRule type="cellIs" priority="16" dxfId="0" operator="greaterThan" stopIfTrue="1">
      <formula>$B$35</formula>
    </cfRule>
  </conditionalFormatting>
  <conditionalFormatting sqref="O20:Q20">
    <cfRule type="expression" priority="17" dxfId="0" stopIfTrue="1">
      <formula>$Q$32&lt;&gt;"OK"</formula>
    </cfRule>
  </conditionalFormatting>
  <conditionalFormatting sqref="R7:R14">
    <cfRule type="cellIs" priority="18" dxfId="4" operator="greaterThan" stopIfTrue="1">
      <formula>20</formula>
    </cfRule>
  </conditionalFormatting>
  <dataValidations count="20">
    <dataValidation type="whole" allowBlank="1" showInputMessage="1" sqref="S7:X14">
      <formula1>1</formula1>
      <formula2>127</formula2>
    </dataValidation>
    <dataValidation type="list" allowBlank="1" showInputMessage="1" showErrorMessage="1" prompt="Wybierz z listy ograniczenie prądowe pętli dozorowej [mA]" errorTitle="OGRANICZENIE PRĄDU PĘTLI" error="Ustaw prawidłowe ograniczenie prądowe pętli: 20, 22, 50mA" sqref="B7:B14">
      <formula1>"20,22,50"</formula1>
    </dataValidation>
    <dataValidation allowBlank="1" sqref="Y7:Y14"/>
    <dataValidation errorStyle="warning" type="custom" allowBlank="1" showInputMessage="1" promptTitle="OSTRZEŻENIE" prompt="Do jednego ACR można przypisać maks. 16 czujek  DUR 4047" errorTitle="UWAGA" error="Brak ACR!" sqref="Q7:Q14">
      <formula1>P7&gt;1</formula1>
    </dataValidation>
    <dataValidation errorStyle="warning" operator="equal" allowBlank="1" errorTitle="OSTRZEŻENIE" error="Nie ma adamterów ACR, czujki radiowe nie będą funkcjonowały" sqref="P24:P31"/>
    <dataValidation type="whole" operator="lessThanOrEqual" allowBlank="1" showErrorMessage="1" errorTitle="UWAGA" error="Przekroczono maksymalną ilość EWS dla pojedynczej centrali" sqref="N15">
      <formula1>100</formula1>
    </dataValidation>
    <dataValidation type="whole" allowBlank="1" showInputMessage="1" showErrorMessage="1" promptTitle="OSTRZEŻENIE" prompt="Maksymalnie 20 EWK na pętlę dozorową" errorTitle="UWAGA" error="Maksymalnie 20 EWK w linii" sqref="O7:O14">
      <formula1>0</formula1>
      <formula2>20</formula2>
    </dataValidation>
    <dataValidation type="list" allowBlank="1" showInputMessage="1" showErrorMessage="1" prompt="0,5A / 24V" errorTitle="BŁAD" error="Wybierz wartość z listy" sqref="D20:H20">
      <formula1>" ,0,1,2"</formula1>
    </dataValidation>
    <dataValidation type="list" allowBlank="1" showInputMessage="1" showErrorMessage="1" prompt="0,1A / 24V" errorTitle="BŁĄD" error="Wybierz wartość z listy" sqref="I20:K20">
      <formula1>" ,0,1,2,3,4,5,6"</formula1>
    </dataValidation>
    <dataValidation type="decimal" allowBlank="1" showInputMessage="1" showErrorMessage="1" promptTitle="INFORMACJA" prompt="Maksymalny prąd dysponowany dla urządzeń zewnętrznych: 1A " errorTitle="BŁĄD" error="Wprowadzono zbyt dużą wartość" sqref="L20:N20">
      <formula1>0</formula1>
      <formula2>1</formula2>
    </dataValidation>
    <dataValidation type="decimal" allowBlank="1" showInputMessage="1" showErrorMessage="1" prompt="wpisz długość kabla linii dozorowej w [km]" errorTitle="UWAGA" error="Wpisz tylko liczbę" sqref="Z7:Z14">
      <formula1>0.0001</formula1>
      <formula2>10000</formula2>
    </dataValidation>
    <dataValidation type="decimal" allowBlank="1" showInputMessage="1" showErrorMessage="1" prompt="Podaj pojemność elektryczną kabla" errorTitle="UWAGA" error="Wpisz tylko liczbę" sqref="AB7:AB14">
      <formula1>0.0001</formula1>
      <formula2>10000</formula2>
    </dataValidation>
    <dataValidation type="decimal" allowBlank="1" showInputMessage="1" showErrorMessage="1" prompt="Podaj rezystancję pojedynczej żyły kabla na kilometr, NIE MNÓŻ x2" errorTitle="UWAGA" error="Wpisz tylko liczbę" sqref="AA7:AA14">
      <formula1>0.0001</formula1>
      <formula2>10000</formula2>
    </dataValidation>
    <dataValidation errorStyle="warning" allowBlank="1" showInputMessage="1" promptTitle="INFORMACJA" prompt="Do obsługi czujek DUR 4047 wymagany jest co najmniej 1 adapter ACR-4001" errorTitle="UWAGA" error="Maksymalnie 20 EWK w linii" sqref="P7:P14"/>
    <dataValidation type="whole" allowBlank="1" showErrorMessage="1" errorTitle="UWAGA" error="Próba wpisania zbyt dużej ilości urządzeń" sqref="C7:K14">
      <formula1>0</formula1>
      <formula2>$I$33</formula2>
    </dataValidation>
    <dataValidation type="whole" allowBlank="1" showInputMessage="1" showErrorMessage="1" promptTitle="INFORMACJA" prompt="SAL-4001 nie podłączony do zewnętrznego zasilania pobiera w alarmowaniu 0,6mA i tak jest on obliczany." errorTitle="UWAGA" error="Zbyt wiele urządzeń" sqref="L7:L14">
      <formula1>1</formula1>
      <formula2>$I$33</formula2>
    </dataValidation>
    <dataValidation type="whole" allowBlank="1" showInputMessage="1" showErrorMessage="1" errorTitle="UWAGA" error="Próba wpisania zbyt dużej ilości urządzeń" sqref="M7:M14">
      <formula1>0</formula1>
      <formula2>$I$33</formula2>
    </dataValidation>
    <dataValidation type="whole" allowBlank="1" showInputMessage="1" showErrorMessage="1" promptTitle="OSTREŻENIE" prompt="Maksymalnie 20 EWS na pętlę dozorową" errorTitle="UWAGA" error="Maksymalnie 20 EWS w linii" sqref="N7:N14">
      <formula1>0</formula1>
      <formula2>$G$36</formula2>
    </dataValidation>
    <dataValidation type="decimal" allowBlank="1" showInputMessage="1" showErrorMessage="1" promptTitle="INFORMACJA" prompt="Maksymalny dysponowany prąd dla urządzeń zewnętrznych: 1A (łącznie z liniami sygnałowymi)" errorTitle="BŁĄD" error="Przekroczenie prądu urządzeń zewnętrznych" sqref="O20:Q20">
      <formula1>0</formula1>
      <formula2>B40-T31</formula2>
    </dataValidation>
    <dataValidation type="whole" allowBlank="1" showInputMessage="1" showErrorMessage="1" promptTitle="OSTRZEŻENIE" prompt="Maksymalnie 20 central UCS na pętlę dozorową" errorTitle="UWAGA" error="Dopuszczalne jest 20 central UCS na jednej pętli" sqref="R7:R14">
      <formula1>0</formula1>
      <formula2>20</formula2>
    </dataValidation>
  </dataValidations>
  <printOptions horizontalCentered="1" verticalCentered="1"/>
  <pageMargins left="0.1968503937007874" right="0.1968503937007874" top="0.7086614173228347" bottom="0.82677165354330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workbookViewId="0" topLeftCell="A1">
      <selection activeCell="C7" sqref="C7:C10"/>
    </sheetView>
  </sheetViews>
  <sheetFormatPr defaultColWidth="9.00390625" defaultRowHeight="12.75"/>
  <cols>
    <col min="1" max="1" width="4.00390625" style="3" customWidth="1"/>
    <col min="2" max="2" width="6.25390625" style="3" customWidth="1"/>
    <col min="3" max="24" width="6.125" style="3" customWidth="1"/>
    <col min="25" max="25" width="7.875" style="3" customWidth="1"/>
    <col min="26" max="28" width="7.125" style="3" customWidth="1"/>
    <col min="29" max="29" width="7.375" style="3" customWidth="1"/>
    <col min="30" max="30" width="7.625" style="3" customWidth="1"/>
    <col min="31" max="16384" width="9.125" style="3" customWidth="1"/>
  </cols>
  <sheetData>
    <row r="1" spans="1:33" s="37" customFormat="1" ht="5.2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>
        <f>SUM(C12:W12)</f>
        <v>0</v>
      </c>
      <c r="T1" s="41">
        <f>SUM(C13:W13)</f>
        <v>0</v>
      </c>
      <c r="U1" s="41">
        <f>SUM(C14:W14)</f>
        <v>0</v>
      </c>
      <c r="V1" s="16"/>
      <c r="W1" s="16" t="s">
        <v>22</v>
      </c>
      <c r="X1" s="16"/>
      <c r="Y1" s="16"/>
      <c r="Z1" s="16"/>
      <c r="AG1" s="42" t="s">
        <v>24</v>
      </c>
    </row>
    <row r="2" spans="1:33" ht="12.75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/>
    </row>
    <row r="3" spans="1:33" ht="12.75">
      <c r="A3" s="44" t="s">
        <v>8</v>
      </c>
      <c r="B3" s="1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  <c r="T3" s="53"/>
      <c r="U3" s="53"/>
      <c r="V3" s="53"/>
      <c r="W3" s="53"/>
      <c r="X3" s="53"/>
      <c r="Y3" s="44" t="s">
        <v>17</v>
      </c>
      <c r="Z3" s="45" t="s">
        <v>7</v>
      </c>
      <c r="AA3" s="48"/>
      <c r="AB3" s="49"/>
      <c r="AC3" s="44" t="s">
        <v>45</v>
      </c>
      <c r="AD3" s="44" t="s">
        <v>16</v>
      </c>
      <c r="AE3" s="55" t="s">
        <v>15</v>
      </c>
      <c r="AF3" s="56"/>
      <c r="AG3" s="57"/>
    </row>
    <row r="4" spans="1:33" ht="12.75">
      <c r="A4" s="50"/>
      <c r="B4" s="15"/>
      <c r="C4" s="10">
        <v>0.15</v>
      </c>
      <c r="D4" s="10">
        <v>0.15</v>
      </c>
      <c r="E4" s="10">
        <v>0.15</v>
      </c>
      <c r="F4" s="10">
        <v>0.3</v>
      </c>
      <c r="G4" s="10">
        <v>0.15</v>
      </c>
      <c r="H4" s="11">
        <v>0.12</v>
      </c>
      <c r="I4" s="10">
        <v>0.17</v>
      </c>
      <c r="J4" s="10">
        <v>0.15</v>
      </c>
      <c r="K4" s="10">
        <v>0.135</v>
      </c>
      <c r="L4" s="10">
        <v>0.6</v>
      </c>
      <c r="M4" s="10">
        <v>0.165</v>
      </c>
      <c r="N4" s="10">
        <v>0.15</v>
      </c>
      <c r="O4" s="10">
        <v>0.15</v>
      </c>
      <c r="P4" s="17">
        <v>6</v>
      </c>
      <c r="Q4" s="17"/>
      <c r="R4" s="17">
        <v>0.6</v>
      </c>
      <c r="S4" s="49" t="s">
        <v>6</v>
      </c>
      <c r="T4" s="54"/>
      <c r="U4" s="54"/>
      <c r="V4" s="54"/>
      <c r="W4" s="54"/>
      <c r="X4" s="54"/>
      <c r="Y4" s="64"/>
      <c r="Z4" s="44" t="s">
        <v>19</v>
      </c>
      <c r="AA4" s="44" t="s">
        <v>44</v>
      </c>
      <c r="AB4" s="44" t="s">
        <v>14</v>
      </c>
      <c r="AC4" s="64"/>
      <c r="AD4" s="64"/>
      <c r="AE4" s="58"/>
      <c r="AF4" s="59"/>
      <c r="AG4" s="60"/>
    </row>
    <row r="5" spans="1:33" ht="38.25">
      <c r="A5" s="51"/>
      <c r="B5" s="14" t="s">
        <v>31</v>
      </c>
      <c r="C5" s="8" t="s">
        <v>2</v>
      </c>
      <c r="D5" s="8" t="s">
        <v>1</v>
      </c>
      <c r="E5" s="8" t="s">
        <v>70</v>
      </c>
      <c r="F5" s="38" t="s">
        <v>72</v>
      </c>
      <c r="G5" s="8" t="s">
        <v>25</v>
      </c>
      <c r="H5" s="9" t="s">
        <v>3</v>
      </c>
      <c r="I5" s="8" t="s">
        <v>26</v>
      </c>
      <c r="J5" s="8" t="s">
        <v>27</v>
      </c>
      <c r="K5" s="8" t="s">
        <v>4</v>
      </c>
      <c r="L5" s="8" t="s">
        <v>28</v>
      </c>
      <c r="M5" s="8" t="s">
        <v>5</v>
      </c>
      <c r="N5" s="8" t="s">
        <v>29</v>
      </c>
      <c r="O5" s="8" t="s">
        <v>30</v>
      </c>
      <c r="P5" s="18" t="s">
        <v>43</v>
      </c>
      <c r="Q5" s="21" t="s">
        <v>73</v>
      </c>
      <c r="R5" s="21" t="s">
        <v>71</v>
      </c>
      <c r="S5" s="7" t="s">
        <v>9</v>
      </c>
      <c r="T5" s="5" t="s">
        <v>10</v>
      </c>
      <c r="U5" s="5" t="s">
        <v>11</v>
      </c>
      <c r="V5" s="5" t="s">
        <v>12</v>
      </c>
      <c r="W5" s="5" t="s">
        <v>13</v>
      </c>
      <c r="X5" s="5" t="s">
        <v>23</v>
      </c>
      <c r="Y5" s="65"/>
      <c r="Z5" s="65"/>
      <c r="AA5" s="65"/>
      <c r="AB5" s="65"/>
      <c r="AC5" s="65"/>
      <c r="AD5" s="65"/>
      <c r="AE5" s="61"/>
      <c r="AF5" s="62"/>
      <c r="AG5" s="63"/>
    </row>
    <row r="6" spans="1:39" ht="12.75">
      <c r="A6" s="35">
        <v>1</v>
      </c>
      <c r="B6" s="35">
        <v>2</v>
      </c>
      <c r="C6" s="35">
        <v>3</v>
      </c>
      <c r="D6" s="35">
        <v>4</v>
      </c>
      <c r="E6" s="35"/>
      <c r="F6" s="35"/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69">
        <v>29</v>
      </c>
      <c r="AF6" s="70"/>
      <c r="AG6" s="71"/>
      <c r="AH6" s="36"/>
      <c r="AI6" s="36"/>
      <c r="AJ6" s="36"/>
      <c r="AK6" s="36"/>
      <c r="AL6" s="36"/>
      <c r="AM6" s="36"/>
    </row>
    <row r="7" spans="1:33" ht="59.25" customHeight="1">
      <c r="A7" s="6">
        <v>1</v>
      </c>
      <c r="B7" s="30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1">
        <f>SUM(C7*C$4+D7*D$4+E7*E$4+F7*F$4+G7*G$4+H7*H$4+I7*I$4+J7*J$4+K7*K$4+L7*L$4+M7*M$4+N7*N$4+O7*O$4+S7*6.8+T7*16+U7*2.5+V7*0.5+W7*2.2+X7*1.33+P7*$P$4+$R7*$R$4)</f>
        <v>0</v>
      </c>
      <c r="Z7" s="29"/>
      <c r="AA7" s="29"/>
      <c r="AB7" s="29"/>
      <c r="AC7" s="12">
        <f>AA7*Z7</f>
        <v>0</v>
      </c>
      <c r="AD7" s="12">
        <f>AB7*Z7</f>
        <v>0</v>
      </c>
      <c r="AE7" s="66">
        <f>IF(SUM(C7:X7,Z7:AB7)=0,"",IF(Q24&lt;&gt;"err","Parametry prawidłowe","Błąd: "&amp;IF($H24&lt;&gt;"OK",$H24,"")&amp;IF($I24&lt;&gt;"OK",$I24,"")&amp;IF($J24&lt;&gt;"OK",$J24,"")&amp;IF($K24&lt;&gt;"OK",$K24,"")&amp;IF($L24&lt;&gt;"OK",$L24,"")&amp;IF($M24&lt;&gt;"OK",$M24,"")&amp;IF($P24&lt;&gt;"OK",$P24,"")&amp;IF(AND($P24="OK",$O24&lt;&gt;"OK"),$O24,"")))</f>
      </c>
      <c r="AF7" s="67"/>
      <c r="AG7" s="68"/>
    </row>
    <row r="8" spans="1:33" ht="59.25" customHeight="1">
      <c r="A8" s="6">
        <v>2</v>
      </c>
      <c r="B8" s="30">
        <v>20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1">
        <f aca="true" t="shared" si="0" ref="Y8:Y14">SUM(C8*C$4+D8*D$4+E8*E$4+F8*F$4+G8*G$4+H8*H$4+I8*I$4+J8*J$4+K8*K$4+L8*L$4+M8*M$4+N8*N$4+O8*O$4+S8*6.8+T8*16+U8*2.5+V8*0.5+W8*2.2+X8*1.33+P8*$P$4+$R8*$R$4)</f>
        <v>0</v>
      </c>
      <c r="Z8" s="29"/>
      <c r="AA8" s="29"/>
      <c r="AB8" s="29"/>
      <c r="AC8" s="12">
        <f aca="true" t="shared" si="1" ref="AC8:AC14">AA8*Z8</f>
        <v>0</v>
      </c>
      <c r="AD8" s="12">
        <f aca="true" t="shared" si="2" ref="AD8:AD14">AB8*Z8</f>
        <v>0</v>
      </c>
      <c r="AE8" s="66">
        <f aca="true" t="shared" si="3" ref="AE8:AE14">IF(SUM(C8:X8,Z8:AB8)=0,"",IF(AND($H25=$T$22,$I25=$T$22,$J25=$T$22,$K25=$T$22,$L25=$T$22,$M25=$T$22,$O25=$T$22,$P25=$T$22),"Parametry prawidłowe","Błąd: "&amp;IF($H25&lt;&gt;"OK",$H25,"")&amp;IF($I25&lt;&gt;"OK",$I25,"")&amp;IF($J25&lt;&gt;"OK",$J25,"")&amp;IF($K25&lt;&gt;"OK",$K25,"")&amp;IF($L25&lt;&gt;"OK",$L25,"")&amp;IF($M25&lt;&gt;"OK",$M25,"")&amp;IF($P25&lt;&gt;"OK",$P25,"")&amp;IF(AND($P25="OK",$O25&lt;&gt;"OK"),$O25,"")))</f>
      </c>
      <c r="AF8" s="67"/>
      <c r="AG8" s="68"/>
    </row>
    <row r="9" spans="1:34" ht="59.25" customHeight="1">
      <c r="A9" s="6">
        <v>3</v>
      </c>
      <c r="B9" s="30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1">
        <f t="shared" si="0"/>
        <v>0</v>
      </c>
      <c r="Z9" s="29"/>
      <c r="AA9" s="29"/>
      <c r="AB9" s="29"/>
      <c r="AC9" s="12">
        <f t="shared" si="1"/>
        <v>0</v>
      </c>
      <c r="AD9" s="12">
        <f t="shared" si="2"/>
        <v>0</v>
      </c>
      <c r="AE9" s="66">
        <f t="shared" si="3"/>
      </c>
      <c r="AF9" s="67"/>
      <c r="AG9" s="68"/>
      <c r="AH9" s="22"/>
    </row>
    <row r="10" spans="1:33" ht="59.25" customHeight="1">
      <c r="A10" s="6">
        <v>4</v>
      </c>
      <c r="B10" s="30">
        <v>20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1">
        <f t="shared" si="0"/>
        <v>0</v>
      </c>
      <c r="Z10" s="29"/>
      <c r="AA10" s="29"/>
      <c r="AB10" s="29"/>
      <c r="AC10" s="12">
        <f t="shared" si="1"/>
        <v>0</v>
      </c>
      <c r="AD10" s="12">
        <f t="shared" si="2"/>
        <v>0</v>
      </c>
      <c r="AE10" s="66">
        <f t="shared" si="3"/>
      </c>
      <c r="AF10" s="67"/>
      <c r="AG10" s="68"/>
    </row>
    <row r="11" spans="1:33" ht="15" hidden="1">
      <c r="A11" s="6">
        <v>5</v>
      </c>
      <c r="B11" s="30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1">
        <f t="shared" si="0"/>
        <v>0</v>
      </c>
      <c r="Z11" s="29"/>
      <c r="AA11" s="29"/>
      <c r="AB11" s="29"/>
      <c r="AC11" s="12">
        <f t="shared" si="1"/>
        <v>0</v>
      </c>
      <c r="AD11" s="12">
        <f t="shared" si="2"/>
        <v>0</v>
      </c>
      <c r="AE11" s="66">
        <f t="shared" si="3"/>
      </c>
      <c r="AF11" s="67"/>
      <c r="AG11" s="68"/>
    </row>
    <row r="12" spans="1:33" ht="15" hidden="1">
      <c r="A12" s="6">
        <v>6</v>
      </c>
      <c r="B12" s="30">
        <v>20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1">
        <f t="shared" si="0"/>
        <v>0</v>
      </c>
      <c r="Z12" s="29"/>
      <c r="AA12" s="29"/>
      <c r="AB12" s="29"/>
      <c r="AC12" s="12">
        <f t="shared" si="1"/>
        <v>0</v>
      </c>
      <c r="AD12" s="12">
        <f t="shared" si="2"/>
        <v>0</v>
      </c>
      <c r="AE12" s="66">
        <f t="shared" si="3"/>
      </c>
      <c r="AF12" s="67"/>
      <c r="AG12" s="68"/>
    </row>
    <row r="13" spans="1:33" ht="15" hidden="1">
      <c r="A13" s="6">
        <v>7</v>
      </c>
      <c r="B13" s="30">
        <v>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1">
        <f t="shared" si="0"/>
        <v>0</v>
      </c>
      <c r="Z13" s="29"/>
      <c r="AA13" s="29"/>
      <c r="AB13" s="29"/>
      <c r="AC13" s="12">
        <f t="shared" si="1"/>
        <v>0</v>
      </c>
      <c r="AD13" s="12">
        <f t="shared" si="2"/>
        <v>0</v>
      </c>
      <c r="AE13" s="66">
        <f t="shared" si="3"/>
      </c>
      <c r="AF13" s="67"/>
      <c r="AG13" s="68"/>
    </row>
    <row r="14" spans="1:33" ht="15" hidden="1">
      <c r="A14" s="6">
        <v>8</v>
      </c>
      <c r="B14" s="30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1">
        <f t="shared" si="0"/>
        <v>0</v>
      </c>
      <c r="Z14" s="29"/>
      <c r="AA14" s="29"/>
      <c r="AB14" s="29"/>
      <c r="AC14" s="12">
        <f t="shared" si="1"/>
        <v>0</v>
      </c>
      <c r="AD14" s="12">
        <f t="shared" si="2"/>
        <v>0</v>
      </c>
      <c r="AE14" s="66">
        <f t="shared" si="3"/>
      </c>
      <c r="AF14" s="67"/>
      <c r="AG14" s="68"/>
    </row>
    <row r="15" spans="1:33" ht="35.25" customHeight="1">
      <c r="A15" s="77" t="s">
        <v>0</v>
      </c>
      <c r="B15" s="78"/>
      <c r="C15" s="23">
        <f>SUM(C7:C14)</f>
        <v>0</v>
      </c>
      <c r="D15" s="23">
        <f aca="true" t="shared" si="4" ref="D15:R15">SUM(D7:D14)</f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82">
        <f>SUM(S7:X14)</f>
        <v>0</v>
      </c>
      <c r="T15" s="83"/>
      <c r="U15" s="83"/>
      <c r="V15" s="83"/>
      <c r="W15" s="83"/>
      <c r="X15" s="84"/>
      <c r="Y15" s="24"/>
      <c r="Z15" s="25">
        <f>SUM(Z7:Z14)</f>
        <v>0</v>
      </c>
      <c r="AA15" s="26"/>
      <c r="AB15" s="26"/>
      <c r="AC15" s="26"/>
      <c r="AD15" s="26"/>
      <c r="AE15" s="79" t="str">
        <f>IF(AND(Q24=T22,Q25=T22,Q26=T22,Q27=T22,Q28=T22,Q29=T22,Q30=T22,Q31=T22),R23,"BŁĄD KONFIGURACJI")</f>
        <v>Parametry centrali prawidłowe</v>
      </c>
      <c r="AF15" s="80"/>
      <c r="AG15" s="81"/>
    </row>
    <row r="16" spans="1:33" ht="30" customHeight="1">
      <c r="A16" s="73" t="s">
        <v>18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3" ht="12.75">
      <c r="A17" s="89" t="s">
        <v>20</v>
      </c>
      <c r="B17" s="89"/>
      <c r="C17" s="89"/>
      <c r="D17" s="53" t="s">
        <v>62</v>
      </c>
      <c r="E17" s="53"/>
      <c r="F17" s="53"/>
      <c r="G17" s="53"/>
      <c r="H17" s="53"/>
      <c r="I17" s="53"/>
      <c r="J17" s="53"/>
      <c r="K17" s="53"/>
      <c r="L17" s="89" t="s">
        <v>60</v>
      </c>
      <c r="M17" s="89"/>
      <c r="N17" s="89"/>
      <c r="O17" s="89"/>
      <c r="P17" s="89"/>
      <c r="Q17" s="89"/>
      <c r="R17" s="45" t="s">
        <v>59</v>
      </c>
      <c r="S17" s="46"/>
      <c r="T17" s="46"/>
      <c r="U17" s="46"/>
      <c r="V17" s="46"/>
      <c r="W17" s="46"/>
      <c r="X17" s="47"/>
      <c r="Y17" s="53" t="s">
        <v>56</v>
      </c>
      <c r="Z17" s="53"/>
      <c r="AA17" s="53"/>
      <c r="AB17" s="53"/>
      <c r="AC17" s="53"/>
      <c r="AD17" s="53"/>
      <c r="AE17" s="45" t="s">
        <v>55</v>
      </c>
      <c r="AF17" s="46"/>
      <c r="AG17" s="47"/>
    </row>
    <row r="18" spans="1:33" ht="12.75">
      <c r="A18" s="53"/>
      <c r="B18" s="53"/>
      <c r="C18" s="53"/>
      <c r="D18" s="88" t="s">
        <v>68</v>
      </c>
      <c r="E18" s="88"/>
      <c r="F18" s="88"/>
      <c r="G18" s="88"/>
      <c r="H18" s="88"/>
      <c r="I18" s="88" t="s">
        <v>69</v>
      </c>
      <c r="J18" s="88"/>
      <c r="K18" s="88"/>
      <c r="L18" s="54" t="s">
        <v>57</v>
      </c>
      <c r="M18" s="54"/>
      <c r="N18" s="54"/>
      <c r="O18" s="54" t="s">
        <v>58</v>
      </c>
      <c r="P18" s="54"/>
      <c r="Q18" s="54"/>
      <c r="R18" s="87" t="s">
        <v>57</v>
      </c>
      <c r="S18" s="48"/>
      <c r="T18" s="48"/>
      <c r="U18" s="49"/>
      <c r="V18" s="54" t="s">
        <v>58</v>
      </c>
      <c r="W18" s="54"/>
      <c r="X18" s="54"/>
      <c r="Y18" s="87" t="s">
        <v>61</v>
      </c>
      <c r="Z18" s="48"/>
      <c r="AA18" s="48"/>
      <c r="AB18" s="48"/>
      <c r="AC18" s="48"/>
      <c r="AD18" s="49"/>
      <c r="AE18" s="93" t="s">
        <v>54</v>
      </c>
      <c r="AF18" s="94"/>
      <c r="AG18" s="95"/>
    </row>
    <row r="19" spans="1:39" ht="12.75">
      <c r="A19" s="85">
        <v>30</v>
      </c>
      <c r="B19" s="85"/>
      <c r="C19" s="85"/>
      <c r="D19" s="85">
        <v>31</v>
      </c>
      <c r="E19" s="85"/>
      <c r="F19" s="85"/>
      <c r="G19" s="85"/>
      <c r="H19" s="85"/>
      <c r="I19" s="85">
        <v>32</v>
      </c>
      <c r="J19" s="85"/>
      <c r="K19" s="85"/>
      <c r="L19" s="85">
        <v>33</v>
      </c>
      <c r="M19" s="85"/>
      <c r="N19" s="85"/>
      <c r="O19" s="85">
        <v>34</v>
      </c>
      <c r="P19" s="85"/>
      <c r="Q19" s="85"/>
      <c r="R19" s="69">
        <v>35</v>
      </c>
      <c r="S19" s="70"/>
      <c r="T19" s="70"/>
      <c r="U19" s="71"/>
      <c r="V19" s="85">
        <v>36</v>
      </c>
      <c r="W19" s="85"/>
      <c r="X19" s="85"/>
      <c r="Y19" s="69">
        <v>37</v>
      </c>
      <c r="Z19" s="70"/>
      <c r="AA19" s="70"/>
      <c r="AB19" s="70"/>
      <c r="AC19" s="70"/>
      <c r="AD19" s="71"/>
      <c r="AE19" s="69">
        <v>38</v>
      </c>
      <c r="AF19" s="70"/>
      <c r="AG19" s="71"/>
      <c r="AH19" s="36"/>
      <c r="AI19" s="36"/>
      <c r="AJ19" s="36"/>
      <c r="AK19" s="36"/>
      <c r="AL19" s="36"/>
      <c r="AM19" s="36"/>
    </row>
    <row r="20" spans="1:33" ht="30" customHeight="1">
      <c r="A20" s="90">
        <f>COUNTIF(Y7:Y14,"&gt;0")</f>
        <v>0</v>
      </c>
      <c r="B20" s="90"/>
      <c r="C20" s="90"/>
      <c r="D20" s="91"/>
      <c r="E20" s="91"/>
      <c r="F20" s="91"/>
      <c r="G20" s="91"/>
      <c r="H20" s="91"/>
      <c r="I20" s="92"/>
      <c r="J20" s="92"/>
      <c r="K20" s="92"/>
      <c r="L20" s="72"/>
      <c r="M20" s="72"/>
      <c r="N20" s="72"/>
      <c r="O20" s="72"/>
      <c r="P20" s="72"/>
      <c r="Q20" s="72"/>
      <c r="R20" s="102">
        <f>AD32+L20</f>
        <v>0.27</v>
      </c>
      <c r="S20" s="103"/>
      <c r="T20" s="103"/>
      <c r="U20" s="104"/>
      <c r="V20" s="86">
        <f>AE32+O20+D20*0.5+I20*0.1</f>
        <v>0.35000000000000003</v>
      </c>
      <c r="W20" s="86"/>
      <c r="X20" s="86"/>
      <c r="Y20" s="99"/>
      <c r="Z20" s="100"/>
      <c r="AA20" s="100"/>
      <c r="AB20" s="100"/>
      <c r="AC20" s="100"/>
      <c r="AD20" s="101"/>
      <c r="AE20" s="96">
        <f>1.2*(R20*Y20+0.5*V20)</f>
        <v>0.21000000000000002</v>
      </c>
      <c r="AF20" s="97"/>
      <c r="AG20" s="98"/>
    </row>
    <row r="21" spans="4:32" ht="12.75" hidden="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ht="12.75" hidden="1">
      <c r="B22" s="76"/>
      <c r="C22" s="76"/>
      <c r="D22" s="33"/>
      <c r="E22" s="33"/>
      <c r="F22" s="33"/>
      <c r="G22" s="33"/>
      <c r="H22" s="33" t="s">
        <v>38</v>
      </c>
      <c r="I22" s="34">
        <f>SUM(C7:X7)</f>
        <v>0</v>
      </c>
      <c r="J22" s="33"/>
      <c r="K22" s="33"/>
      <c r="L22" s="33"/>
      <c r="M22" s="33" t="str">
        <f>IF(I22&gt;127,"przekroczono "&amp;V22&amp;"linii",AA22)</f>
        <v>Parametry prawidłowe</v>
      </c>
      <c r="N22" s="33"/>
      <c r="O22" s="33"/>
      <c r="P22" s="33"/>
      <c r="Q22" s="33"/>
      <c r="R22" s="33"/>
      <c r="S22" s="33"/>
      <c r="T22" s="33" t="s">
        <v>39</v>
      </c>
      <c r="U22" s="33"/>
      <c r="V22" s="33" t="s">
        <v>41</v>
      </c>
      <c r="W22" s="33" t="s">
        <v>40</v>
      </c>
      <c r="X22" s="33" t="s">
        <v>42</v>
      </c>
      <c r="Y22" s="33" t="s">
        <v>46</v>
      </c>
      <c r="Z22" s="33"/>
      <c r="AA22" s="33" t="s">
        <v>32</v>
      </c>
      <c r="AB22" s="33"/>
      <c r="AC22" s="33"/>
      <c r="AD22" s="32">
        <v>0.07</v>
      </c>
      <c r="AE22" s="32">
        <v>0.07</v>
      </c>
      <c r="AF22" s="32"/>
    </row>
    <row r="23" spans="8:32" ht="12.75" hidden="1">
      <c r="H23" s="19" t="s">
        <v>75</v>
      </c>
      <c r="I23" s="3" t="s">
        <v>76</v>
      </c>
      <c r="J23" s="3" t="s">
        <v>77</v>
      </c>
      <c r="K23" s="3" t="s">
        <v>78</v>
      </c>
      <c r="L23" s="3" t="s">
        <v>29</v>
      </c>
      <c r="M23" s="3" t="s">
        <v>30</v>
      </c>
      <c r="N23" s="3" t="s">
        <v>67</v>
      </c>
      <c r="O23" s="3" t="s">
        <v>79</v>
      </c>
      <c r="P23" s="3" t="s">
        <v>80</v>
      </c>
      <c r="Q23" s="3" t="s">
        <v>38</v>
      </c>
      <c r="R23" s="33" t="str">
        <f>IF(OR(R15&gt;B39,$N15&gt;$B$36,$O$15&gt;$B$37,$M$15&gt;$B$35,L15&gt;B38,Q32&lt;&gt;"OK"),"Przekroczono "&amp;$Z$23&amp;"w centrali","Parametry centrali prawidłowe")</f>
        <v>Parametry centrali prawidłowe</v>
      </c>
      <c r="S23" s="33"/>
      <c r="T23" s="33"/>
      <c r="U23" s="33"/>
      <c r="V23" s="33" t="s">
        <v>66</v>
      </c>
      <c r="W23" s="33" t="s">
        <v>65</v>
      </c>
      <c r="X23" s="33" t="s">
        <v>47</v>
      </c>
      <c r="Y23" s="33" t="s">
        <v>48</v>
      </c>
      <c r="Z23" s="27">
        <f>IF(N15&gt;B36,"ilość EWS, ","")&amp;IF(O15&gt;B37,"ilość EWK, ","")&amp;IF(L15&gt;B38,"ilość SAL, ","")&amp;IF(M15&gt;B35,"ilość EKS, ","")&amp;IF(O20&gt;S31,"prąd urządzeń zewnętrznych ","")&amp;IF(R15&gt;B37,"ilość UCS, ","")</f>
      </c>
      <c r="AA23" s="33"/>
      <c r="AB23" s="33"/>
      <c r="AC23" s="33"/>
      <c r="AD23" s="32">
        <f>IF(Y7=0,0,IF($B7=20,0.025,IF($B7=22,0.032,IF($B7=50,0.06,""))))</f>
        <v>0</v>
      </c>
      <c r="AE23" s="32">
        <f aca="true" t="shared" si="5" ref="AE23:AE30">IF($Y7=0,0,IF($B7=20,0.025,IF($B7=22,0.032,IF($B7=50,0.06,""))))</f>
        <v>0</v>
      </c>
      <c r="AF23" s="32"/>
    </row>
    <row r="24" spans="4:32" ht="12.75" hidden="1">
      <c r="D24" s="33"/>
      <c r="E24" s="33"/>
      <c r="F24" s="33"/>
      <c r="G24" s="32"/>
      <c r="H24" s="33" t="str">
        <f aca="true" t="shared" si="6" ref="H24:H31">IF(SUM(C7:X7)&gt;$I$33,$V$22,"OK")</f>
        <v>OK</v>
      </c>
      <c r="I24" s="33" t="str">
        <f aca="true" t="shared" si="7" ref="I24:I31">IF($Y7&gt;$B7,$W$22,"OK")</f>
        <v>OK</v>
      </c>
      <c r="J24" s="33" t="str">
        <f aca="true" t="shared" si="8" ref="J24:J31">IF($AC7&gt;$T$34,$Y$22,"OK")</f>
        <v>OK</v>
      </c>
      <c r="K24" s="33" t="str">
        <f aca="true" t="shared" si="9" ref="K24:K31">IF($AD7&gt;$J$35,$X$22,"OK")</f>
        <v>OK</v>
      </c>
      <c r="L24" s="33" t="str">
        <f aca="true" t="shared" si="10" ref="L24:L31">IF($N7&gt;$G$36,$V$23,"OK")</f>
        <v>OK</v>
      </c>
      <c r="M24" s="33" t="str">
        <f aca="true" t="shared" si="11" ref="M24:M31">IF($O7&gt;$G$37,$W$23,"OK")</f>
        <v>OK</v>
      </c>
      <c r="N24" s="33" t="str">
        <f>IF($R7&gt;$G$39,$W$23,"OK")</f>
        <v>OK</v>
      </c>
      <c r="O24" s="34" t="str">
        <f aca="true" t="shared" si="12" ref="O24:O31">IF($P7*16&gt;=$Q7,"OK",$X$23)</f>
        <v>OK</v>
      </c>
      <c r="P24" s="32" t="str">
        <f aca="true" t="shared" si="13" ref="P24:P31">IF(AND(Q7&gt;0,P7=0),$Y$23,"OK")</f>
        <v>OK</v>
      </c>
      <c r="Q24" s="32" t="str">
        <f>IF(AND(N24=$T$22,H24=$T$22,I24=$T$22,J24=$T$22,K24=$T$22,L24=$T$22,M24=$T$22,O24=$T$22,P24=$T$22),"OK","err")</f>
        <v>OK</v>
      </c>
      <c r="R24" s="33"/>
      <c r="S24" s="33"/>
      <c r="T24" s="33" t="str">
        <f>IF(OR(AE7&lt;&gt;"",AE8&lt;&gt;"",AE9&lt;&gt;"",AE10&lt;&gt;"",AE11&lt;&gt;"",AE12&lt;&gt;"",AE13&lt;&gt;"",AE14&lt;&gt;"",AE7&lt;&gt;AA22,AE8&lt;&gt;AA22,AE9&lt;&gt;AA22,AE10&lt;&gt;AA22,AE11&lt;&gt;AA22,AE12&lt;&gt;AA22,AE13&lt;&gt;AA22,AE14&lt;&gt;AA22,),"cos","OK")</f>
        <v>cos</v>
      </c>
      <c r="U24" s="33"/>
      <c r="V24" s="33" t="s">
        <v>74</v>
      </c>
      <c r="W24" s="33"/>
      <c r="X24" s="33"/>
      <c r="Y24" s="33"/>
      <c r="Z24" s="33"/>
      <c r="AA24" s="33"/>
      <c r="AB24" s="33"/>
      <c r="AC24" s="33"/>
      <c r="AD24" s="32">
        <f aca="true" t="shared" si="14" ref="AD24:AD30">IF(Y8=0,0,IF($B8=20,0.025,IF($B8=22,0.032,IF($B8=50,0.06,""))))</f>
        <v>0</v>
      </c>
      <c r="AE24" s="32">
        <f t="shared" si="5"/>
        <v>0</v>
      </c>
      <c r="AF24" s="32"/>
    </row>
    <row r="25" spans="3:32" ht="12.75" hidden="1">
      <c r="C25" s="16"/>
      <c r="D25" s="33"/>
      <c r="E25" s="33"/>
      <c r="F25" s="33"/>
      <c r="G25" s="33"/>
      <c r="H25" s="33" t="str">
        <f t="shared" si="6"/>
        <v>OK</v>
      </c>
      <c r="I25" s="33" t="str">
        <f t="shared" si="7"/>
        <v>OK</v>
      </c>
      <c r="J25" s="33" t="str">
        <f t="shared" si="8"/>
        <v>OK</v>
      </c>
      <c r="K25" s="33" t="str">
        <f t="shared" si="9"/>
        <v>OK</v>
      </c>
      <c r="L25" s="33" t="str">
        <f t="shared" si="10"/>
        <v>OK</v>
      </c>
      <c r="M25" s="33" t="str">
        <f t="shared" si="11"/>
        <v>OK</v>
      </c>
      <c r="N25" s="33" t="str">
        <f aca="true" t="shared" si="15" ref="N25:N31">IF($R8&gt;$G$39,$W$23,"OK")</f>
        <v>OK</v>
      </c>
      <c r="O25" s="34" t="str">
        <f t="shared" si="12"/>
        <v>OK</v>
      </c>
      <c r="P25" s="32" t="str">
        <f t="shared" si="13"/>
        <v>OK</v>
      </c>
      <c r="Q25" s="32" t="str">
        <f aca="true" t="shared" si="16" ref="Q25:Q31">IF(AND(H25=$T$22,I25=$T$22,J25=$T$22,K25=$T$22,L25=$T$22,M25=$T$22,O25=$T$22,P25=$T$22),"OK","err")</f>
        <v>OK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2">
        <f t="shared" si="14"/>
        <v>0</v>
      </c>
      <c r="AE25" s="32">
        <f t="shared" si="5"/>
        <v>0</v>
      </c>
      <c r="AF25" s="32"/>
    </row>
    <row r="26" spans="3:32" ht="12.75" hidden="1">
      <c r="C26" s="16"/>
      <c r="D26" s="33"/>
      <c r="E26" s="33"/>
      <c r="F26" s="33"/>
      <c r="G26" s="33"/>
      <c r="H26" s="33" t="str">
        <f t="shared" si="6"/>
        <v>OK</v>
      </c>
      <c r="I26" s="33" t="str">
        <f t="shared" si="7"/>
        <v>OK</v>
      </c>
      <c r="J26" s="33" t="str">
        <f t="shared" si="8"/>
        <v>OK</v>
      </c>
      <c r="K26" s="33" t="str">
        <f t="shared" si="9"/>
        <v>OK</v>
      </c>
      <c r="L26" s="33" t="str">
        <f t="shared" si="10"/>
        <v>OK</v>
      </c>
      <c r="M26" s="33" t="str">
        <f t="shared" si="11"/>
        <v>OK</v>
      </c>
      <c r="N26" s="33" t="str">
        <f t="shared" si="15"/>
        <v>OK</v>
      </c>
      <c r="O26" s="34" t="str">
        <f t="shared" si="12"/>
        <v>OK</v>
      </c>
      <c r="P26" s="32" t="str">
        <f t="shared" si="13"/>
        <v>OK</v>
      </c>
      <c r="Q26" s="32" t="str">
        <f t="shared" si="16"/>
        <v>OK</v>
      </c>
      <c r="R26" s="33"/>
      <c r="S26" s="27" t="str">
        <f>IF(D20&lt;&gt;0,D20*0.5,"x")</f>
        <v>x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2">
        <f t="shared" si="14"/>
        <v>0</v>
      </c>
      <c r="AE26" s="32">
        <f t="shared" si="5"/>
        <v>0</v>
      </c>
      <c r="AF26" s="32"/>
    </row>
    <row r="27" spans="3:32" ht="12.75" hidden="1">
      <c r="C27" s="16"/>
      <c r="D27" s="33"/>
      <c r="E27" s="33"/>
      <c r="F27" s="33"/>
      <c r="G27" s="33"/>
      <c r="H27" s="33" t="str">
        <f t="shared" si="6"/>
        <v>OK</v>
      </c>
      <c r="I27" s="33" t="str">
        <f t="shared" si="7"/>
        <v>OK</v>
      </c>
      <c r="J27" s="33" t="str">
        <f t="shared" si="8"/>
        <v>OK</v>
      </c>
      <c r="K27" s="33" t="str">
        <f t="shared" si="9"/>
        <v>OK</v>
      </c>
      <c r="L27" s="33" t="str">
        <f t="shared" si="10"/>
        <v>OK</v>
      </c>
      <c r="M27" s="33" t="str">
        <f t="shared" si="11"/>
        <v>OK</v>
      </c>
      <c r="N27" s="33" t="str">
        <f t="shared" si="15"/>
        <v>OK</v>
      </c>
      <c r="O27" s="34" t="str">
        <f t="shared" si="12"/>
        <v>OK</v>
      </c>
      <c r="P27" s="32" t="str">
        <f t="shared" si="13"/>
        <v>OK</v>
      </c>
      <c r="Q27" s="32" t="str">
        <f t="shared" si="16"/>
        <v>OK</v>
      </c>
      <c r="R27" s="33"/>
      <c r="S27" s="27" t="str">
        <f>IF(I20&lt;&gt;0,I20*0.1,"x")</f>
        <v>x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2">
        <f t="shared" si="14"/>
        <v>0</v>
      </c>
      <c r="AE27" s="32">
        <f t="shared" si="5"/>
        <v>0</v>
      </c>
      <c r="AF27" s="32"/>
    </row>
    <row r="28" spans="3:32" ht="12.75" hidden="1">
      <c r="C28" s="16"/>
      <c r="D28" s="33"/>
      <c r="E28" s="33"/>
      <c r="F28" s="33"/>
      <c r="G28" s="33"/>
      <c r="H28" s="33" t="str">
        <f t="shared" si="6"/>
        <v>OK</v>
      </c>
      <c r="I28" s="33" t="str">
        <f t="shared" si="7"/>
        <v>OK</v>
      </c>
      <c r="J28" s="33" t="str">
        <f t="shared" si="8"/>
        <v>OK</v>
      </c>
      <c r="K28" s="33" t="str">
        <f t="shared" si="9"/>
        <v>OK</v>
      </c>
      <c r="L28" s="33" t="str">
        <f t="shared" si="10"/>
        <v>OK</v>
      </c>
      <c r="M28" s="33" t="str">
        <f t="shared" si="11"/>
        <v>OK</v>
      </c>
      <c r="N28" s="33" t="str">
        <f t="shared" si="15"/>
        <v>OK</v>
      </c>
      <c r="O28" s="34" t="str">
        <f t="shared" si="12"/>
        <v>OK</v>
      </c>
      <c r="P28" s="32" t="str">
        <f t="shared" si="13"/>
        <v>OK</v>
      </c>
      <c r="Q28" s="32" t="str">
        <f t="shared" si="16"/>
        <v>OK</v>
      </c>
      <c r="R28" s="33"/>
      <c r="S28" s="33" t="str">
        <f>IF(OR(D20=2,AND(D20=1,I20=5)),"max","OK")</f>
        <v>OK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2">
        <f t="shared" si="14"/>
        <v>0</v>
      </c>
      <c r="AE28" s="32">
        <f t="shared" si="5"/>
        <v>0</v>
      </c>
      <c r="AF28" s="32"/>
    </row>
    <row r="29" spans="3:32" ht="12.75" hidden="1">
      <c r="C29" s="16"/>
      <c r="D29" s="33"/>
      <c r="E29" s="33"/>
      <c r="F29" s="33"/>
      <c r="G29" s="33"/>
      <c r="H29" s="33" t="str">
        <f t="shared" si="6"/>
        <v>OK</v>
      </c>
      <c r="I29" s="33" t="str">
        <f t="shared" si="7"/>
        <v>OK</v>
      </c>
      <c r="J29" s="33" t="str">
        <f t="shared" si="8"/>
        <v>OK</v>
      </c>
      <c r="K29" s="33" t="str">
        <f t="shared" si="9"/>
        <v>OK</v>
      </c>
      <c r="L29" s="33" t="str">
        <f t="shared" si="10"/>
        <v>OK</v>
      </c>
      <c r="M29" s="33" t="str">
        <f t="shared" si="11"/>
        <v>OK</v>
      </c>
      <c r="N29" s="33" t="str">
        <f t="shared" si="15"/>
        <v>OK</v>
      </c>
      <c r="O29" s="34" t="str">
        <f t="shared" si="12"/>
        <v>OK</v>
      </c>
      <c r="P29" s="32" t="str">
        <f t="shared" si="13"/>
        <v>OK</v>
      </c>
      <c r="Q29" s="32" t="str">
        <f t="shared" si="16"/>
        <v>OK</v>
      </c>
      <c r="R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2">
        <f t="shared" si="14"/>
        <v>0</v>
      </c>
      <c r="AE29" s="32">
        <f t="shared" si="5"/>
        <v>0</v>
      </c>
      <c r="AF29" s="32"/>
    </row>
    <row r="30" spans="3:32" ht="12.75" hidden="1">
      <c r="C30" s="16"/>
      <c r="D30" s="33"/>
      <c r="E30" s="33"/>
      <c r="F30" s="33"/>
      <c r="G30" s="33"/>
      <c r="H30" s="33" t="str">
        <f t="shared" si="6"/>
        <v>OK</v>
      </c>
      <c r="I30" s="33" t="str">
        <f t="shared" si="7"/>
        <v>OK</v>
      </c>
      <c r="J30" s="33" t="str">
        <f t="shared" si="8"/>
        <v>OK</v>
      </c>
      <c r="K30" s="33" t="str">
        <f t="shared" si="9"/>
        <v>OK</v>
      </c>
      <c r="L30" s="33" t="str">
        <f t="shared" si="10"/>
        <v>OK</v>
      </c>
      <c r="M30" s="33" t="str">
        <f t="shared" si="11"/>
        <v>OK</v>
      </c>
      <c r="N30" s="33" t="str">
        <f t="shared" si="15"/>
        <v>OK</v>
      </c>
      <c r="O30" s="34" t="str">
        <f t="shared" si="12"/>
        <v>OK</v>
      </c>
      <c r="P30" s="32" t="str">
        <f t="shared" si="13"/>
        <v>OK</v>
      </c>
      <c r="Q30" s="32" t="str">
        <f t="shared" si="16"/>
        <v>OK</v>
      </c>
      <c r="R30" s="33"/>
      <c r="S30" s="33">
        <f>D20*0.5+I20*0.1+O20</f>
        <v>0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2">
        <f t="shared" si="14"/>
        <v>0</v>
      </c>
      <c r="AE30" s="32">
        <f t="shared" si="5"/>
        <v>0</v>
      </c>
      <c r="AF30" s="32"/>
    </row>
    <row r="31" spans="3:32" ht="12.75" hidden="1">
      <c r="C31" s="16"/>
      <c r="D31" s="33"/>
      <c r="E31" s="33"/>
      <c r="F31" s="33"/>
      <c r="G31" s="33"/>
      <c r="H31" s="33" t="str">
        <f t="shared" si="6"/>
        <v>OK</v>
      </c>
      <c r="I31" s="33" t="str">
        <f t="shared" si="7"/>
        <v>OK</v>
      </c>
      <c r="J31" s="33" t="str">
        <f t="shared" si="8"/>
        <v>OK</v>
      </c>
      <c r="K31" s="33" t="str">
        <f t="shared" si="9"/>
        <v>OK</v>
      </c>
      <c r="L31" s="33" t="str">
        <f t="shared" si="10"/>
        <v>OK</v>
      </c>
      <c r="M31" s="33" t="str">
        <f t="shared" si="11"/>
        <v>OK</v>
      </c>
      <c r="N31" s="33" t="str">
        <f t="shared" si="15"/>
        <v>OK</v>
      </c>
      <c r="O31" s="34" t="str">
        <f t="shared" si="12"/>
        <v>OK</v>
      </c>
      <c r="P31" s="32" t="str">
        <f t="shared" si="13"/>
        <v>OK</v>
      </c>
      <c r="Q31" s="32" t="str">
        <f t="shared" si="16"/>
        <v>OK</v>
      </c>
      <c r="R31" s="33"/>
      <c r="S31" s="33">
        <f>B40-S30</f>
        <v>1</v>
      </c>
      <c r="T31" s="33">
        <f>(D20*0.5+I20*0.1)</f>
        <v>0</v>
      </c>
      <c r="U31" s="33"/>
      <c r="V31" s="33"/>
      <c r="W31" s="33"/>
      <c r="X31" s="33"/>
      <c r="Y31" s="33"/>
      <c r="Z31" s="33"/>
      <c r="AA31" s="33"/>
      <c r="AB31" s="33" t="s">
        <v>50</v>
      </c>
      <c r="AC31" s="32"/>
      <c r="AD31" s="32"/>
      <c r="AE31" s="32"/>
      <c r="AF31" s="32" t="s">
        <v>53</v>
      </c>
    </row>
    <row r="32" spans="3:32" ht="12.75" hidden="1">
      <c r="C32" s="16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str">
        <f>IF(S30&gt;B40,"prąd urządzeń zewnętrznych","OK")</f>
        <v>OK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f>0.2+SUM(AD22:AD31)</f>
        <v>0.27</v>
      </c>
      <c r="AE32" s="32">
        <f>0.28+SUM(AE22:AE31)</f>
        <v>0.35000000000000003</v>
      </c>
      <c r="AF32" s="32"/>
    </row>
    <row r="33" spans="2:32" ht="12.75" hidden="1">
      <c r="B33" s="3" t="s">
        <v>35</v>
      </c>
      <c r="D33" s="32"/>
      <c r="E33" s="32"/>
      <c r="F33" s="32"/>
      <c r="G33" s="32"/>
      <c r="H33" s="32"/>
      <c r="I33" s="32">
        <v>64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 t="s">
        <v>51</v>
      </c>
      <c r="AE33" s="32" t="s">
        <v>52</v>
      </c>
      <c r="AF33" s="32"/>
    </row>
    <row r="34" spans="2:32" ht="12.75" hidden="1">
      <c r="B34" s="3" t="s">
        <v>34</v>
      </c>
      <c r="D34" s="32"/>
      <c r="E34" s="32"/>
      <c r="F34" s="32"/>
      <c r="G34" s="32" t="s">
        <v>33</v>
      </c>
      <c r="H34" s="32"/>
      <c r="I34" s="32"/>
      <c r="J34" s="32" t="s">
        <v>36</v>
      </c>
      <c r="K34" s="32"/>
      <c r="L34" s="32"/>
      <c r="M34" s="32" t="s">
        <v>37</v>
      </c>
      <c r="N34" s="32"/>
      <c r="O34" s="32"/>
      <c r="P34" s="32"/>
      <c r="Q34" s="32"/>
      <c r="R34" s="32"/>
      <c r="S34" s="32"/>
      <c r="T34" s="32">
        <f>VLOOKUP(B7,M35:O37,3)</f>
        <v>100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2.75" hidden="1">
      <c r="A35" s="3" t="s">
        <v>5</v>
      </c>
      <c r="B35" s="3">
        <v>50</v>
      </c>
      <c r="D35" s="32"/>
      <c r="E35" s="32"/>
      <c r="F35" s="32"/>
      <c r="G35" s="32"/>
      <c r="H35" s="32"/>
      <c r="I35" s="32"/>
      <c r="J35" s="32">
        <v>300</v>
      </c>
      <c r="K35" s="32"/>
      <c r="L35" s="32"/>
      <c r="M35" s="32">
        <v>20</v>
      </c>
      <c r="N35" s="32"/>
      <c r="O35" s="32">
        <v>100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2.75" hidden="1">
      <c r="A36" s="3" t="s">
        <v>29</v>
      </c>
      <c r="B36" s="3">
        <v>50</v>
      </c>
      <c r="D36" s="32"/>
      <c r="E36" s="32"/>
      <c r="F36" s="32"/>
      <c r="G36" s="32">
        <v>20</v>
      </c>
      <c r="H36" s="32"/>
      <c r="I36" s="32"/>
      <c r="J36" s="32"/>
      <c r="K36" s="32"/>
      <c r="L36" s="32"/>
      <c r="M36" s="32">
        <v>22</v>
      </c>
      <c r="N36" s="32"/>
      <c r="O36" s="32">
        <v>75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12.75" hidden="1">
      <c r="A37" s="3" t="s">
        <v>30</v>
      </c>
      <c r="B37" s="3">
        <v>50</v>
      </c>
      <c r="D37" s="32"/>
      <c r="E37" s="32"/>
      <c r="F37" s="32"/>
      <c r="G37" s="32">
        <v>20</v>
      </c>
      <c r="H37" s="32"/>
      <c r="I37" s="32"/>
      <c r="J37" s="32"/>
      <c r="K37" s="32"/>
      <c r="L37" s="32"/>
      <c r="M37" s="32">
        <v>50</v>
      </c>
      <c r="N37" s="32"/>
      <c r="O37" s="32">
        <v>45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2.75" hidden="1">
      <c r="A38" s="3" t="s">
        <v>28</v>
      </c>
      <c r="B38" s="3">
        <v>50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2.75" hidden="1">
      <c r="A39" s="3" t="s">
        <v>67</v>
      </c>
      <c r="B39" s="3">
        <v>50</v>
      </c>
      <c r="D39" s="32"/>
      <c r="E39" s="32"/>
      <c r="F39" s="32"/>
      <c r="G39" s="32">
        <v>20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27" ht="12.75" hidden="1">
      <c r="B40" s="3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0:27" ht="12.75" hidden="1"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0:27" s="39" customFormat="1" ht="12.75" hidden="1"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0:27" s="39" customFormat="1" ht="12.75"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0:27" s="39" customFormat="1" ht="12.75"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0:27" s="39" customFormat="1" ht="12.75"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0:27" s="39" customFormat="1" ht="12.75"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</sheetData>
  <mergeCells count="59">
    <mergeCell ref="AE20:AG20"/>
    <mergeCell ref="O20:Q20"/>
    <mergeCell ref="R20:U20"/>
    <mergeCell ref="V20:X20"/>
    <mergeCell ref="Y20:AD20"/>
    <mergeCell ref="A15:B15"/>
    <mergeCell ref="AE18:AG18"/>
    <mergeCell ref="D19:H19"/>
    <mergeCell ref="I19:K19"/>
    <mergeCell ref="L19:N19"/>
    <mergeCell ref="O19:Q19"/>
    <mergeCell ref="R19:U19"/>
    <mergeCell ref="V19:X19"/>
    <mergeCell ref="Y19:AD19"/>
    <mergeCell ref="AE19:AG19"/>
    <mergeCell ref="A16:AG16"/>
    <mergeCell ref="D17:K17"/>
    <mergeCell ref="L17:Q17"/>
    <mergeCell ref="R17:X17"/>
    <mergeCell ref="Y17:AD17"/>
    <mergeCell ref="AE17:AG17"/>
    <mergeCell ref="A17:C17"/>
    <mergeCell ref="A2:AG2"/>
    <mergeCell ref="C3:X3"/>
    <mergeCell ref="Y3:Y5"/>
    <mergeCell ref="Z3:AB3"/>
    <mergeCell ref="AC3:AC5"/>
    <mergeCell ref="AD3:AD5"/>
    <mergeCell ref="AE3:AG5"/>
    <mergeCell ref="S4:X4"/>
    <mergeCell ref="AA4:AA5"/>
    <mergeCell ref="AB4:AB5"/>
    <mergeCell ref="B22:C22"/>
    <mergeCell ref="A20:C20"/>
    <mergeCell ref="A19:C19"/>
    <mergeCell ref="L18:N18"/>
    <mergeCell ref="D20:H20"/>
    <mergeCell ref="I20:K20"/>
    <mergeCell ref="L20:N20"/>
    <mergeCell ref="R18:U18"/>
    <mergeCell ref="V18:X18"/>
    <mergeCell ref="Y18:AD18"/>
    <mergeCell ref="A18:C18"/>
    <mergeCell ref="D18:H18"/>
    <mergeCell ref="I18:K18"/>
    <mergeCell ref="O18:Q18"/>
    <mergeCell ref="AE12:AG12"/>
    <mergeCell ref="AE13:AG13"/>
    <mergeCell ref="AE14:AG14"/>
    <mergeCell ref="S15:X15"/>
    <mergeCell ref="AE15:AG15"/>
    <mergeCell ref="AE8:AG8"/>
    <mergeCell ref="AE9:AG9"/>
    <mergeCell ref="AE10:AG10"/>
    <mergeCell ref="AE11:AG11"/>
    <mergeCell ref="Z4:Z5"/>
    <mergeCell ref="AE6:AG6"/>
    <mergeCell ref="AE7:AG7"/>
    <mergeCell ref="A3:A5"/>
  </mergeCells>
  <conditionalFormatting sqref="AD7:AD14">
    <cfRule type="cellIs" priority="1" dxfId="0" operator="greaterThan" stopIfTrue="1">
      <formula>300</formula>
    </cfRule>
    <cfRule type="cellIs" priority="2" dxfId="1" operator="lessThanOrEqual" stopIfTrue="1">
      <formula>300</formula>
    </cfRule>
  </conditionalFormatting>
  <conditionalFormatting sqref="AE7:AG14">
    <cfRule type="cellIs" priority="3" dxfId="1" operator="equal" stopIfTrue="1">
      <formula>"Parametry prawidłowe"</formula>
    </cfRule>
    <cfRule type="cellIs" priority="4" dxfId="0" operator="notEqual" stopIfTrue="1">
      <formula>"Parametry prawidłowe"</formula>
    </cfRule>
  </conditionalFormatting>
  <conditionalFormatting sqref="AC7:AC14">
    <cfRule type="cellIs" priority="5" dxfId="0" operator="greaterThan" stopIfTrue="1">
      <formula>$T$34</formula>
    </cfRule>
    <cfRule type="cellIs" priority="6" dxfId="1" operator="lessThanOrEqual" stopIfTrue="1">
      <formula>$T$34</formula>
    </cfRule>
  </conditionalFormatting>
  <conditionalFormatting sqref="N7:O14">
    <cfRule type="cellIs" priority="7" dxfId="0" operator="greaterThan" stopIfTrue="1">
      <formula>20</formula>
    </cfRule>
  </conditionalFormatting>
  <conditionalFormatting sqref="AE15:AG15">
    <cfRule type="cellIs" priority="8" dxfId="1" operator="equal" stopIfTrue="1">
      <formula>"Parametry centrali prawidłowe"</formula>
    </cfRule>
    <cfRule type="cellIs" priority="9" dxfId="0" operator="notEqual" stopIfTrue="1">
      <formula>"Parametry prawidłowe"</formula>
    </cfRule>
  </conditionalFormatting>
  <conditionalFormatting sqref="Y7:Y14">
    <cfRule type="cellIs" priority="10" dxfId="2" operator="greaterThan" stopIfTrue="1">
      <formula>$B7</formula>
    </cfRule>
    <cfRule type="cellIs" priority="11" dxfId="3" operator="lessThanOrEqual" stopIfTrue="1">
      <formula>$B7</formula>
    </cfRule>
  </conditionalFormatting>
  <conditionalFormatting sqref="D20:K20">
    <cfRule type="expression" priority="12" dxfId="0" stopIfTrue="1">
      <formula>$S$31&lt;0</formula>
    </cfRule>
  </conditionalFormatting>
  <conditionalFormatting sqref="N15">
    <cfRule type="cellIs" priority="13" dxfId="0" operator="greaterThan" stopIfTrue="1">
      <formula>$B$36</formula>
    </cfRule>
  </conditionalFormatting>
  <conditionalFormatting sqref="O15">
    <cfRule type="cellIs" priority="14" dxfId="0" operator="greaterThan" stopIfTrue="1">
      <formula>$B$37</formula>
    </cfRule>
  </conditionalFormatting>
  <conditionalFormatting sqref="L15">
    <cfRule type="cellIs" priority="15" dxfId="0" operator="greaterThan" stopIfTrue="1">
      <formula>$B$38</formula>
    </cfRule>
  </conditionalFormatting>
  <conditionalFormatting sqref="M15">
    <cfRule type="cellIs" priority="16" dxfId="0" operator="greaterThan" stopIfTrue="1">
      <formula>$B$35</formula>
    </cfRule>
  </conditionalFormatting>
  <conditionalFormatting sqref="O20:Q20">
    <cfRule type="expression" priority="17" dxfId="0" stopIfTrue="1">
      <formula>$Q$32&lt;&gt;"OK"</formula>
    </cfRule>
  </conditionalFormatting>
  <conditionalFormatting sqref="R7:R14">
    <cfRule type="cellIs" priority="18" dxfId="4" operator="greaterThan" stopIfTrue="1">
      <formula>20</formula>
    </cfRule>
  </conditionalFormatting>
  <dataValidations count="20">
    <dataValidation type="whole" allowBlank="1" showInputMessage="1" sqref="S7:X14">
      <formula1>1</formula1>
      <formula2>127</formula2>
    </dataValidation>
    <dataValidation allowBlank="1" sqref="Y7:Y14"/>
    <dataValidation errorStyle="warning" type="custom" allowBlank="1" showInputMessage="1" promptTitle="OSTRZEŻENIE" prompt="Do jednego ACR można przypisać maks. 16 czujek  DUR 4047" errorTitle="UWAGA" error="Brak ACR!" sqref="Q7:Q14">
      <formula1>P7&gt;1</formula1>
    </dataValidation>
    <dataValidation errorStyle="warning" operator="equal" allowBlank="1" errorTitle="OSTRZEŻENIE" error="Nie ma adamterów ACR, czujki radiowe nie będą funkcjonowały" sqref="P24:P31"/>
    <dataValidation type="whole" operator="lessThanOrEqual" allowBlank="1" showErrorMessage="1" errorTitle="UWAGA" error="Przekroczono maksymalną ilość EWS dla pojedynczej centrali" sqref="N15">
      <formula1>100</formula1>
    </dataValidation>
    <dataValidation type="list" allowBlank="1" showInputMessage="1" showErrorMessage="1" prompt="Wybierz z listy ograniczenie prądowe pętli dozorowej [mA]" errorTitle="OGRANICZENIE PRĄDU PĘTLI" error="Ustaw prawidłowe ograniczenie prądowe pętli: 20, 22, 50mA" sqref="B7:B14">
      <formula1>"20,22,50"</formula1>
    </dataValidation>
    <dataValidation type="decimal" allowBlank="1" showInputMessage="1" showErrorMessage="1" prompt="wpisz długość kabla linii dozorowej w [km]" errorTitle="UWAGA" error="Wpisz tylko liczbę" sqref="Z7:Z14">
      <formula1>0.0001</formula1>
      <formula2>10000</formula2>
    </dataValidation>
    <dataValidation type="decimal" allowBlank="1" showInputMessage="1" showErrorMessage="1" prompt="Podaj pojemność elektryczną kabla" errorTitle="UWAGA" error="Wpisz tylko liczbę" sqref="AB7:AB14">
      <formula1>0.0001</formula1>
      <formula2>10000</formula2>
    </dataValidation>
    <dataValidation type="decimal" allowBlank="1" showInputMessage="1" showErrorMessage="1" prompt="Podaj rezystancję pojedynczej żyły kabla na kilometr, NIE MNÓŻ x2" errorTitle="UWAGA" error="Wpisz tylko liczbę" sqref="AA7:AA14">
      <formula1>0.0001</formula1>
      <formula2>10000</formula2>
    </dataValidation>
    <dataValidation errorStyle="warning" allowBlank="1" showInputMessage="1" promptTitle="INFORMACJA" prompt="Do obsługi czujek DUR 4047 wymagany jest co najmniej 1 adapter ACR-4001" errorTitle="UWAGA" error="Maksymalnie 20 EWK w linii" sqref="P7:P14"/>
    <dataValidation type="whole" allowBlank="1" showInputMessage="1" showErrorMessage="1" promptTitle="OSTRZEŻENIE" prompt="Maksymalnie 20 EWK na pętlę dozorową" errorTitle="UWAGA" error="Maksymalnie 20 EWK w linii" sqref="O7:O14">
      <formula1>0</formula1>
      <formula2>20</formula2>
    </dataValidation>
    <dataValidation type="list" allowBlank="1" showInputMessage="1" showErrorMessage="1" prompt="0,5A / 24V" errorTitle="BŁAD" error="Wybierz wartość z listy" sqref="D20:H20">
      <formula1>" ,0,1"</formula1>
    </dataValidation>
    <dataValidation type="list" allowBlank="1" showInputMessage="1" showErrorMessage="1" prompt="0,1A / 24V" errorTitle="BŁĄD" error="Wybierz wartość z listy" sqref="I20:K20">
      <formula1>" ,0,1"</formula1>
    </dataValidation>
    <dataValidation type="decimal" allowBlank="1" showInputMessage="1" showErrorMessage="1" promptTitle="INFORMACJA" prompt="Maksymalny prąd dysponowany dla urządzeń zewnętrznych: 1A " errorTitle="BŁĄD" error="Wprowadzono zbyt dużą wartość" sqref="L20:N20">
      <formula1>0</formula1>
      <formula2>1</formula2>
    </dataValidation>
    <dataValidation type="whole" allowBlank="1" showErrorMessage="1" errorTitle="UWAGA" error="Próba wpisania zbyt dużej ilości urządzeń" sqref="C7:K14">
      <formula1>0</formula1>
      <formula2>$I$33</formula2>
    </dataValidation>
    <dataValidation type="whole" allowBlank="1" showInputMessage="1" showErrorMessage="1" promptTitle="INFORMACJA" prompt="SAL-4001 nie podłączony do zewnętrznego zasilania pobiera w alarmowaniu 0,6mA i tak jest on obliczany." errorTitle="UWAGA" error="Zbyt wiele urządzeń" sqref="L7:L14">
      <formula1>1</formula1>
      <formula2>$I$33</formula2>
    </dataValidation>
    <dataValidation type="whole" allowBlank="1" showInputMessage="1" showErrorMessage="1" errorTitle="UWAGA" error="Próba wpisania zbyt dużej ilości urządzeń" sqref="M7:M14">
      <formula1>0</formula1>
      <formula2>$I$33</formula2>
    </dataValidation>
    <dataValidation type="whole" allowBlank="1" showInputMessage="1" showErrorMessage="1" promptTitle="OSTREŻENIE" prompt="Maksymalnie 20 EWS na pętlę dozorową" errorTitle="UWAGA" error="Maksymalnie 20 EWS w linii" sqref="N7:N14">
      <formula1>0</formula1>
      <formula2>$G$36</formula2>
    </dataValidation>
    <dataValidation type="decimal" allowBlank="1" showInputMessage="1" showErrorMessage="1" promptTitle="INFORMACJA" prompt="Maksymalny dysponowany prąd dla urządzeń zewnętrznych: 1A (łącznie z liniami sygnałowymi)" errorTitle="BŁĄD" error="Przekroczenie prądu urządzeń zewnętrznych" sqref="O20:Q20">
      <formula1>0</formula1>
      <formula2>B40-T31</formula2>
    </dataValidation>
    <dataValidation type="whole" allowBlank="1" showInputMessage="1" showErrorMessage="1" promptTitle="OSTRZEŻENIE" prompt="Maksymalnie 20 central UCS na pętlę dozorową" errorTitle="UWAGA" error="Dopuszczalne jest 20 central UCS na jednej pętli" sqref="R7:R14">
      <formula1>0</formula1>
      <formula2>20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tabSelected="1" workbookViewId="0" topLeftCell="A1">
      <selection activeCell="H48" sqref="H48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24" width="6.125" style="0" customWidth="1"/>
    <col min="25" max="25" width="7.875" style="0" customWidth="1"/>
    <col min="26" max="28" width="7.375" style="0" customWidth="1"/>
    <col min="29" max="30" width="6.75390625" style="0" customWidth="1"/>
  </cols>
  <sheetData>
    <row r="1" spans="1:33" s="37" customFormat="1" ht="14.2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>
        <f>SUM(C12:W12)</f>
        <v>0</v>
      </c>
      <c r="T1" s="41">
        <f>SUM(C13:W13)</f>
        <v>0</v>
      </c>
      <c r="U1" s="41">
        <f>SUM(C14:W14)</f>
        <v>0</v>
      </c>
      <c r="V1" s="16"/>
      <c r="W1" s="16" t="s">
        <v>22</v>
      </c>
      <c r="X1" s="16"/>
      <c r="Y1" s="16"/>
      <c r="Z1" s="16"/>
      <c r="AG1" s="42" t="s">
        <v>24</v>
      </c>
    </row>
    <row r="2" spans="1:33" s="3" customFormat="1" ht="12.75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/>
    </row>
    <row r="3" spans="1:33" s="3" customFormat="1" ht="12.75">
      <c r="A3" s="44" t="s">
        <v>8</v>
      </c>
      <c r="B3" s="1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  <c r="T3" s="53"/>
      <c r="U3" s="53"/>
      <c r="V3" s="53"/>
      <c r="W3" s="53"/>
      <c r="X3" s="53"/>
      <c r="Y3" s="44" t="s">
        <v>17</v>
      </c>
      <c r="Z3" s="45" t="s">
        <v>7</v>
      </c>
      <c r="AA3" s="48"/>
      <c r="AB3" s="49"/>
      <c r="AC3" s="44" t="s">
        <v>45</v>
      </c>
      <c r="AD3" s="44" t="s">
        <v>16</v>
      </c>
      <c r="AE3" s="55" t="s">
        <v>15</v>
      </c>
      <c r="AF3" s="56"/>
      <c r="AG3" s="57"/>
    </row>
    <row r="4" spans="1:33" s="3" customFormat="1" ht="12.75">
      <c r="A4" s="50"/>
      <c r="B4" s="15"/>
      <c r="C4" s="10">
        <v>0.15</v>
      </c>
      <c r="D4" s="10">
        <v>0.15</v>
      </c>
      <c r="E4" s="10">
        <v>0.15</v>
      </c>
      <c r="F4" s="10">
        <v>0.3</v>
      </c>
      <c r="G4" s="10">
        <v>0.15</v>
      </c>
      <c r="H4" s="11">
        <v>0.12</v>
      </c>
      <c r="I4" s="10">
        <v>0.17</v>
      </c>
      <c r="J4" s="10">
        <v>0.15</v>
      </c>
      <c r="K4" s="10">
        <v>0.135</v>
      </c>
      <c r="L4" s="10">
        <v>0.6</v>
      </c>
      <c r="M4" s="10">
        <v>0.165</v>
      </c>
      <c r="N4" s="10">
        <v>0.15</v>
      </c>
      <c r="O4" s="10">
        <v>0.15</v>
      </c>
      <c r="P4" s="17">
        <v>6</v>
      </c>
      <c r="Q4" s="17"/>
      <c r="R4" s="17">
        <v>0.6</v>
      </c>
      <c r="S4" s="49" t="s">
        <v>6</v>
      </c>
      <c r="T4" s="54"/>
      <c r="U4" s="54"/>
      <c r="V4" s="54"/>
      <c r="W4" s="54"/>
      <c r="X4" s="54"/>
      <c r="Y4" s="64"/>
      <c r="Z4" s="44" t="s">
        <v>19</v>
      </c>
      <c r="AA4" s="44" t="s">
        <v>44</v>
      </c>
      <c r="AB4" s="44" t="s">
        <v>14</v>
      </c>
      <c r="AC4" s="64"/>
      <c r="AD4" s="64"/>
      <c r="AE4" s="58"/>
      <c r="AF4" s="59"/>
      <c r="AG4" s="60"/>
    </row>
    <row r="5" spans="1:33" s="3" customFormat="1" ht="38.25">
      <c r="A5" s="51"/>
      <c r="B5" s="14" t="s">
        <v>31</v>
      </c>
      <c r="C5" s="8" t="s">
        <v>2</v>
      </c>
      <c r="D5" s="8" t="s">
        <v>1</v>
      </c>
      <c r="E5" s="8" t="s">
        <v>70</v>
      </c>
      <c r="F5" s="38" t="s">
        <v>72</v>
      </c>
      <c r="G5" s="8" t="s">
        <v>25</v>
      </c>
      <c r="H5" s="9" t="s">
        <v>3</v>
      </c>
      <c r="I5" s="8" t="s">
        <v>26</v>
      </c>
      <c r="J5" s="8" t="s">
        <v>27</v>
      </c>
      <c r="K5" s="8" t="s">
        <v>4</v>
      </c>
      <c r="L5" s="8" t="s">
        <v>28</v>
      </c>
      <c r="M5" s="8" t="s">
        <v>5</v>
      </c>
      <c r="N5" s="8" t="s">
        <v>29</v>
      </c>
      <c r="O5" s="8" t="s">
        <v>30</v>
      </c>
      <c r="P5" s="18" t="s">
        <v>43</v>
      </c>
      <c r="Q5" s="21" t="s">
        <v>73</v>
      </c>
      <c r="R5" s="21" t="s">
        <v>71</v>
      </c>
      <c r="S5" s="7" t="s">
        <v>9</v>
      </c>
      <c r="T5" s="5" t="s">
        <v>10</v>
      </c>
      <c r="U5" s="5" t="s">
        <v>11</v>
      </c>
      <c r="V5" s="5" t="s">
        <v>12</v>
      </c>
      <c r="W5" s="5" t="s">
        <v>13</v>
      </c>
      <c r="X5" s="5" t="s">
        <v>23</v>
      </c>
      <c r="Y5" s="65"/>
      <c r="Z5" s="65"/>
      <c r="AA5" s="65"/>
      <c r="AB5" s="65"/>
      <c r="AC5" s="65"/>
      <c r="AD5" s="65"/>
      <c r="AE5" s="61"/>
      <c r="AF5" s="62"/>
      <c r="AG5" s="63"/>
    </row>
    <row r="6" spans="1:39" s="3" customFormat="1" ht="12.75">
      <c r="A6" s="35">
        <v>1</v>
      </c>
      <c r="B6" s="35">
        <v>2</v>
      </c>
      <c r="C6" s="35">
        <v>3</v>
      </c>
      <c r="D6" s="35">
        <v>4</v>
      </c>
      <c r="E6" s="35"/>
      <c r="F6" s="35"/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69">
        <v>29</v>
      </c>
      <c r="AF6" s="70"/>
      <c r="AG6" s="71"/>
      <c r="AH6" s="36"/>
      <c r="AI6" s="36"/>
      <c r="AJ6" s="36"/>
      <c r="AK6" s="36"/>
      <c r="AL6" s="36"/>
      <c r="AM6" s="36"/>
    </row>
    <row r="7" spans="1:33" s="3" customFormat="1" ht="63" customHeight="1">
      <c r="A7" s="6">
        <v>1</v>
      </c>
      <c r="B7" s="30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1">
        <f>SUM(C7*C$4+D7*D$4+E7*E$4+F7*F$4+G7*G$4+H7*H$4+I7*I$4+J7*J$4+K7*K$4+L7*L$4+M7*M$4+N7*N$4+O7*O$4+S7*6.8+T7*16+U7*2.5+V7*0.5+W7*2.2+X7*1.33+P7*$P$4+$R7*$R$4)</f>
        <v>0</v>
      </c>
      <c r="Z7" s="29"/>
      <c r="AA7" s="29"/>
      <c r="AB7" s="29"/>
      <c r="AC7" s="12">
        <f>AA7*Z7</f>
        <v>0</v>
      </c>
      <c r="AD7" s="12">
        <f>AB7*Z7</f>
        <v>0</v>
      </c>
      <c r="AE7" s="66">
        <f>IF(SUM(C7:X7,Z7:AB7)=0,"",IF(Q24&lt;&gt;"err","Parametry prawidłowe","Błąd: "&amp;IF($H24&lt;&gt;"OK",$H24,"")&amp;IF($I24&lt;&gt;"OK",$I24,"")&amp;IF($J24&lt;&gt;"OK",$J24,"")&amp;IF($K24&lt;&gt;"OK",$K24,"")&amp;IF($L24&lt;&gt;"OK",$L24,"")&amp;IF($M24&lt;&gt;"OK",$M24,"")&amp;IF($P24&lt;&gt;"OK",$P24,"")&amp;IF(AND($P24="OK",$O24&lt;&gt;"OK"),$O24,"")))</f>
      </c>
      <c r="AF7" s="67"/>
      <c r="AG7" s="68"/>
    </row>
    <row r="8" spans="1:33" s="3" customFormat="1" ht="63" customHeight="1">
      <c r="A8" s="6">
        <v>2</v>
      </c>
      <c r="B8" s="30">
        <v>20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1">
        <f aca="true" t="shared" si="0" ref="Y8:Y14">SUM(C8*C$4+D8*D$4+E8*E$4+F8*F$4+G8*G$4+H8*H$4+I8*I$4+J8*J$4+K8*K$4+L8*L$4+M8*M$4+N8*N$4+O8*O$4+S8*6.8+T8*16+U8*2.5+V8*0.5+W8*2.2+X8*1.33+P8*$P$4+$R8*$R$4)</f>
        <v>0</v>
      </c>
      <c r="Z8" s="29"/>
      <c r="AA8" s="29"/>
      <c r="AB8" s="29"/>
      <c r="AC8" s="12">
        <f aca="true" t="shared" si="1" ref="AC8:AC14">AA8*Z8</f>
        <v>0</v>
      </c>
      <c r="AD8" s="12">
        <f aca="true" t="shared" si="2" ref="AD8:AD14">AB8*Z8</f>
        <v>0</v>
      </c>
      <c r="AE8" s="66">
        <f aca="true" t="shared" si="3" ref="AE8:AE14">IF(SUM(C8:X8,Z8:AB8)=0,"",IF(AND($H25=$T$22,$I25=$T$22,$J25=$T$22,$K25=$T$22,$L25=$T$22,$M25=$T$22,$O25=$T$22,$P25=$T$22),"Parametry prawidłowe","Błąd: "&amp;IF($H25&lt;&gt;"OK",$H25,"")&amp;IF($I25&lt;&gt;"OK",$I25,"")&amp;IF($J25&lt;&gt;"OK",$J25,"")&amp;IF($K25&lt;&gt;"OK",$K25,"")&amp;IF($L25&lt;&gt;"OK",$L25,"")&amp;IF($M25&lt;&gt;"OK",$M25,"")&amp;IF($P25&lt;&gt;"OK",$P25,"")&amp;IF(AND($P25="OK",$O25&lt;&gt;"OK"),$O25,"")))</f>
      </c>
      <c r="AF8" s="67"/>
      <c r="AG8" s="68"/>
    </row>
    <row r="9" spans="1:34" s="3" customFormat="1" ht="15" hidden="1">
      <c r="A9" s="6">
        <v>3</v>
      </c>
      <c r="B9" s="30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1">
        <f t="shared" si="0"/>
        <v>0</v>
      </c>
      <c r="Z9" s="29"/>
      <c r="AA9" s="29"/>
      <c r="AB9" s="29"/>
      <c r="AC9" s="12">
        <f t="shared" si="1"/>
        <v>0</v>
      </c>
      <c r="AD9" s="12">
        <f t="shared" si="2"/>
        <v>0</v>
      </c>
      <c r="AE9" s="66">
        <f t="shared" si="3"/>
      </c>
      <c r="AF9" s="67"/>
      <c r="AG9" s="68"/>
      <c r="AH9" s="22"/>
    </row>
    <row r="10" spans="1:33" s="3" customFormat="1" ht="15" hidden="1">
      <c r="A10" s="6">
        <v>4</v>
      </c>
      <c r="B10" s="30">
        <v>20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1">
        <f t="shared" si="0"/>
        <v>0</v>
      </c>
      <c r="Z10" s="29"/>
      <c r="AA10" s="29"/>
      <c r="AB10" s="29"/>
      <c r="AC10" s="12">
        <f t="shared" si="1"/>
        <v>0</v>
      </c>
      <c r="AD10" s="12">
        <f t="shared" si="2"/>
        <v>0</v>
      </c>
      <c r="AE10" s="66">
        <f t="shared" si="3"/>
      </c>
      <c r="AF10" s="67"/>
      <c r="AG10" s="68"/>
    </row>
    <row r="11" spans="1:33" s="3" customFormat="1" ht="15" hidden="1">
      <c r="A11" s="6">
        <v>5</v>
      </c>
      <c r="B11" s="30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1">
        <f t="shared" si="0"/>
        <v>0</v>
      </c>
      <c r="Z11" s="29"/>
      <c r="AA11" s="29"/>
      <c r="AB11" s="29"/>
      <c r="AC11" s="12">
        <f t="shared" si="1"/>
        <v>0</v>
      </c>
      <c r="AD11" s="12">
        <f t="shared" si="2"/>
        <v>0</v>
      </c>
      <c r="AE11" s="66">
        <f t="shared" si="3"/>
      </c>
      <c r="AF11" s="67"/>
      <c r="AG11" s="68"/>
    </row>
    <row r="12" spans="1:33" s="3" customFormat="1" ht="15" hidden="1">
      <c r="A12" s="6">
        <v>6</v>
      </c>
      <c r="B12" s="30">
        <v>20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1">
        <f t="shared" si="0"/>
        <v>0</v>
      </c>
      <c r="Z12" s="29"/>
      <c r="AA12" s="29"/>
      <c r="AB12" s="29"/>
      <c r="AC12" s="12">
        <f t="shared" si="1"/>
        <v>0</v>
      </c>
      <c r="AD12" s="12">
        <f t="shared" si="2"/>
        <v>0</v>
      </c>
      <c r="AE12" s="66">
        <f t="shared" si="3"/>
      </c>
      <c r="AF12" s="67"/>
      <c r="AG12" s="68"/>
    </row>
    <row r="13" spans="1:33" s="3" customFormat="1" ht="15" hidden="1">
      <c r="A13" s="6">
        <v>7</v>
      </c>
      <c r="B13" s="30">
        <v>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1">
        <f t="shared" si="0"/>
        <v>0</v>
      </c>
      <c r="Z13" s="29"/>
      <c r="AA13" s="29"/>
      <c r="AB13" s="29"/>
      <c r="AC13" s="12">
        <f t="shared" si="1"/>
        <v>0</v>
      </c>
      <c r="AD13" s="12">
        <f t="shared" si="2"/>
        <v>0</v>
      </c>
      <c r="AE13" s="66">
        <f t="shared" si="3"/>
      </c>
      <c r="AF13" s="67"/>
      <c r="AG13" s="68"/>
    </row>
    <row r="14" spans="1:33" s="3" customFormat="1" ht="15" hidden="1">
      <c r="A14" s="6">
        <v>8</v>
      </c>
      <c r="B14" s="30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1">
        <f t="shared" si="0"/>
        <v>0</v>
      </c>
      <c r="Z14" s="29"/>
      <c r="AA14" s="29"/>
      <c r="AB14" s="29"/>
      <c r="AC14" s="12">
        <f t="shared" si="1"/>
        <v>0</v>
      </c>
      <c r="AD14" s="12">
        <f t="shared" si="2"/>
        <v>0</v>
      </c>
      <c r="AE14" s="66">
        <f t="shared" si="3"/>
      </c>
      <c r="AF14" s="67"/>
      <c r="AG14" s="68"/>
    </row>
    <row r="15" spans="1:33" s="3" customFormat="1" ht="37.5" customHeight="1">
      <c r="A15" s="77" t="s">
        <v>0</v>
      </c>
      <c r="B15" s="78"/>
      <c r="C15" s="23">
        <f>SUM(C7:C14)</f>
        <v>0</v>
      </c>
      <c r="D15" s="23">
        <f aca="true" t="shared" si="4" ref="D15:R15">SUM(D7:D14)</f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82">
        <f>SUM(S7:X14)</f>
        <v>0</v>
      </c>
      <c r="T15" s="83"/>
      <c r="U15" s="83"/>
      <c r="V15" s="83"/>
      <c r="W15" s="83"/>
      <c r="X15" s="84"/>
      <c r="Y15" s="24"/>
      <c r="Z15" s="25">
        <f>SUM(Z7:Z14)</f>
        <v>0</v>
      </c>
      <c r="AA15" s="26"/>
      <c r="AB15" s="26"/>
      <c r="AC15" s="26"/>
      <c r="AD15" s="26"/>
      <c r="AE15" s="79" t="str">
        <f>IF(AND(Q24=T22,Q25=T22,Q26=T22,Q27=T22,Q28=T22,Q29=T22,Q30=T22,Q31=T22),R23,"BŁĄD KONFIGURACJI")</f>
        <v>Parametry centrali prawidłowe</v>
      </c>
      <c r="AF15" s="80"/>
      <c r="AG15" s="81"/>
    </row>
    <row r="16" spans="1:33" s="3" customFormat="1" ht="25.5" customHeight="1">
      <c r="A16" s="73" t="s">
        <v>18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3" s="3" customFormat="1" ht="12.75">
      <c r="A17" s="89" t="s">
        <v>20</v>
      </c>
      <c r="B17" s="89"/>
      <c r="C17" s="89"/>
      <c r="D17" s="53" t="s">
        <v>62</v>
      </c>
      <c r="E17" s="53"/>
      <c r="F17" s="53"/>
      <c r="G17" s="53"/>
      <c r="H17" s="53"/>
      <c r="I17" s="53"/>
      <c r="J17" s="53"/>
      <c r="K17" s="53"/>
      <c r="L17" s="89" t="s">
        <v>60</v>
      </c>
      <c r="M17" s="89"/>
      <c r="N17" s="89"/>
      <c r="O17" s="89"/>
      <c r="P17" s="89"/>
      <c r="Q17" s="89"/>
      <c r="R17" s="45" t="s">
        <v>59</v>
      </c>
      <c r="S17" s="46"/>
      <c r="T17" s="46"/>
      <c r="U17" s="46"/>
      <c r="V17" s="46"/>
      <c r="W17" s="46"/>
      <c r="X17" s="47"/>
      <c r="Y17" s="53" t="s">
        <v>56</v>
      </c>
      <c r="Z17" s="53"/>
      <c r="AA17" s="53"/>
      <c r="AB17" s="53"/>
      <c r="AC17" s="53"/>
      <c r="AD17" s="53"/>
      <c r="AE17" s="45" t="s">
        <v>55</v>
      </c>
      <c r="AF17" s="46"/>
      <c r="AG17" s="47"/>
    </row>
    <row r="18" spans="1:33" s="3" customFormat="1" ht="12.75">
      <c r="A18" s="53"/>
      <c r="B18" s="53"/>
      <c r="C18" s="53"/>
      <c r="D18" s="88" t="s">
        <v>68</v>
      </c>
      <c r="E18" s="88"/>
      <c r="F18" s="88"/>
      <c r="G18" s="88"/>
      <c r="H18" s="88"/>
      <c r="I18" s="88"/>
      <c r="J18" s="88"/>
      <c r="K18" s="88"/>
      <c r="L18" s="54" t="s">
        <v>57</v>
      </c>
      <c r="M18" s="54"/>
      <c r="N18" s="54"/>
      <c r="O18" s="54" t="s">
        <v>58</v>
      </c>
      <c r="P18" s="54"/>
      <c r="Q18" s="54"/>
      <c r="R18" s="87" t="s">
        <v>57</v>
      </c>
      <c r="S18" s="48"/>
      <c r="T18" s="48"/>
      <c r="U18" s="49"/>
      <c r="V18" s="54" t="s">
        <v>58</v>
      </c>
      <c r="W18" s="54"/>
      <c r="X18" s="54"/>
      <c r="Y18" s="87" t="s">
        <v>61</v>
      </c>
      <c r="Z18" s="48"/>
      <c r="AA18" s="48"/>
      <c r="AB18" s="48"/>
      <c r="AC18" s="48"/>
      <c r="AD18" s="49"/>
      <c r="AE18" s="93" t="s">
        <v>54</v>
      </c>
      <c r="AF18" s="94"/>
      <c r="AG18" s="95"/>
    </row>
    <row r="19" spans="1:39" s="3" customFormat="1" ht="12.75">
      <c r="A19" s="85">
        <v>30</v>
      </c>
      <c r="B19" s="85"/>
      <c r="C19" s="85"/>
      <c r="D19" s="85">
        <v>31</v>
      </c>
      <c r="E19" s="85"/>
      <c r="F19" s="85"/>
      <c r="G19" s="85"/>
      <c r="H19" s="85"/>
      <c r="I19" s="85">
        <v>32</v>
      </c>
      <c r="J19" s="85"/>
      <c r="K19" s="85"/>
      <c r="L19" s="85">
        <v>33</v>
      </c>
      <c r="M19" s="85"/>
      <c r="N19" s="85"/>
      <c r="O19" s="85">
        <v>34</v>
      </c>
      <c r="P19" s="85"/>
      <c r="Q19" s="85"/>
      <c r="R19" s="69">
        <v>35</v>
      </c>
      <c r="S19" s="70"/>
      <c r="T19" s="70"/>
      <c r="U19" s="71"/>
      <c r="V19" s="85">
        <v>36</v>
      </c>
      <c r="W19" s="85"/>
      <c r="X19" s="85"/>
      <c r="Y19" s="69">
        <v>37</v>
      </c>
      <c r="Z19" s="70"/>
      <c r="AA19" s="70"/>
      <c r="AB19" s="70"/>
      <c r="AC19" s="70"/>
      <c r="AD19" s="71"/>
      <c r="AE19" s="69">
        <v>38</v>
      </c>
      <c r="AF19" s="70"/>
      <c r="AG19" s="71"/>
      <c r="AH19" s="36"/>
      <c r="AI19" s="36"/>
      <c r="AJ19" s="36"/>
      <c r="AK19" s="36"/>
      <c r="AL19" s="36"/>
      <c r="AM19" s="36"/>
    </row>
    <row r="20" spans="1:33" s="3" customFormat="1" ht="34.5" customHeight="1">
      <c r="A20" s="90">
        <f>COUNTIF(Y7:Y14,"&gt;0")</f>
        <v>0</v>
      </c>
      <c r="B20" s="90"/>
      <c r="C20" s="90"/>
      <c r="D20" s="91"/>
      <c r="E20" s="91"/>
      <c r="F20" s="91"/>
      <c r="G20" s="91"/>
      <c r="H20" s="91"/>
      <c r="I20" s="105"/>
      <c r="J20" s="105"/>
      <c r="K20" s="105"/>
      <c r="L20" s="72"/>
      <c r="M20" s="72"/>
      <c r="N20" s="72"/>
      <c r="O20" s="72"/>
      <c r="P20" s="72"/>
      <c r="Q20" s="72"/>
      <c r="R20" s="102">
        <f>AD32+L20</f>
        <v>0.19</v>
      </c>
      <c r="S20" s="103"/>
      <c r="T20" s="103"/>
      <c r="U20" s="104"/>
      <c r="V20" s="86">
        <f>AE32+O20+D20*0.5+I20*0.1</f>
        <v>0.33</v>
      </c>
      <c r="W20" s="86"/>
      <c r="X20" s="86"/>
      <c r="Y20" s="99"/>
      <c r="Z20" s="100"/>
      <c r="AA20" s="100"/>
      <c r="AB20" s="100"/>
      <c r="AC20" s="100"/>
      <c r="AD20" s="101"/>
      <c r="AE20" s="96">
        <f>1.2*(R20*Y20+0.5*V20)</f>
        <v>0.198</v>
      </c>
      <c r="AF20" s="97"/>
      <c r="AG20" s="98"/>
    </row>
    <row r="21" spans="4:32" s="3" customFormat="1" ht="12.75" hidden="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s="3" customFormat="1" ht="12.75" hidden="1">
      <c r="B22" s="76"/>
      <c r="C22" s="76"/>
      <c r="D22" s="33"/>
      <c r="E22" s="33"/>
      <c r="F22" s="33"/>
      <c r="G22" s="33"/>
      <c r="H22" s="33" t="s">
        <v>38</v>
      </c>
      <c r="I22" s="34">
        <f>SUM(C7:X7)</f>
        <v>0</v>
      </c>
      <c r="J22" s="33"/>
      <c r="K22" s="33"/>
      <c r="L22" s="33"/>
      <c r="M22" s="33" t="str">
        <f>IF(I22&gt;127,"przekroczono "&amp;V22&amp;"linii",AA22)</f>
        <v>Parametry prawidłowe</v>
      </c>
      <c r="N22" s="33"/>
      <c r="O22" s="33"/>
      <c r="P22" s="33"/>
      <c r="Q22" s="33"/>
      <c r="R22" s="33"/>
      <c r="S22" s="33"/>
      <c r="T22" s="33" t="s">
        <v>39</v>
      </c>
      <c r="U22" s="33"/>
      <c r="V22" s="33" t="s">
        <v>41</v>
      </c>
      <c r="W22" s="33" t="s">
        <v>40</v>
      </c>
      <c r="X22" s="33" t="s">
        <v>42</v>
      </c>
      <c r="Y22" s="33" t="s">
        <v>46</v>
      </c>
      <c r="Z22" s="33"/>
      <c r="AA22" s="33" t="s">
        <v>32</v>
      </c>
      <c r="AB22" s="33"/>
      <c r="AC22" s="33"/>
      <c r="AD22" s="32">
        <v>0.05</v>
      </c>
      <c r="AE22" s="32">
        <v>0.05</v>
      </c>
      <c r="AF22" s="32"/>
    </row>
    <row r="23" spans="8:32" s="3" customFormat="1" ht="12.75" hidden="1">
      <c r="H23" s="19" t="s">
        <v>75</v>
      </c>
      <c r="I23" s="3" t="s">
        <v>76</v>
      </c>
      <c r="J23" s="3" t="s">
        <v>77</v>
      </c>
      <c r="K23" s="3" t="s">
        <v>78</v>
      </c>
      <c r="L23" s="3" t="s">
        <v>29</v>
      </c>
      <c r="M23" s="3" t="s">
        <v>30</v>
      </c>
      <c r="N23" s="3" t="s">
        <v>67</v>
      </c>
      <c r="O23" s="3" t="s">
        <v>79</v>
      </c>
      <c r="P23" s="3" t="s">
        <v>80</v>
      </c>
      <c r="Q23" s="3" t="s">
        <v>38</v>
      </c>
      <c r="R23" s="33" t="str">
        <f>IF(OR(R15&gt;B39,$N15&gt;$B$36,$O$15&gt;$B$37,$M$15&gt;$B$35,L15&gt;B38,Q32&lt;&gt;"OK"),"Przekroczono "&amp;$Z$23&amp;"w centrali","Parametry centrali prawidłowe")</f>
        <v>Parametry centrali prawidłowe</v>
      </c>
      <c r="S23" s="33"/>
      <c r="T23" s="33"/>
      <c r="U23" s="33"/>
      <c r="V23" s="33" t="s">
        <v>66</v>
      </c>
      <c r="W23" s="33" t="s">
        <v>65</v>
      </c>
      <c r="X23" s="33" t="s">
        <v>47</v>
      </c>
      <c r="Y23" s="33" t="s">
        <v>48</v>
      </c>
      <c r="Z23" s="27">
        <f>IF(N15&gt;B36,"ilość EWS, ","")&amp;IF(O15&gt;B37,"ilość EWK, ","")&amp;IF(L15&gt;B38,"ilość SAL, ","")&amp;IF(M15&gt;B35,"ilość EKS, ","")&amp;IF(O20&gt;S31,"prąd urządzeń zewnętrznych ","")&amp;IF(R15&gt;B37,"ilość UCS, ","")</f>
      </c>
      <c r="AA23" s="33"/>
      <c r="AB23" s="33"/>
      <c r="AC23" s="33"/>
      <c r="AD23" s="32">
        <f>IF(Y7=0,0,IF($B7=20,0.025,IF($B7=22,0.032,IF($B7=50,0.06,""))))</f>
        <v>0</v>
      </c>
      <c r="AE23" s="32">
        <f aca="true" t="shared" si="5" ref="AE23:AE30">IF($Y7=0,0,IF($B7=20,0.025,IF($B7=22,0.032,IF($B7=50,0.06,""))))</f>
        <v>0</v>
      </c>
      <c r="AF23" s="32"/>
    </row>
    <row r="24" spans="4:32" s="3" customFormat="1" ht="12.75" hidden="1">
      <c r="D24" s="33"/>
      <c r="E24" s="33"/>
      <c r="F24" s="33"/>
      <c r="G24" s="32"/>
      <c r="H24" s="33" t="str">
        <f aca="true" t="shared" si="6" ref="H24:H31">IF(SUM(C7:X7)&gt;$I$33,$V$22,"OK")</f>
        <v>OK</v>
      </c>
      <c r="I24" s="33" t="str">
        <f aca="true" t="shared" si="7" ref="I24:I31">IF($Y7&gt;$B7,$W$22,"OK")</f>
        <v>OK</v>
      </c>
      <c r="J24" s="33" t="str">
        <f aca="true" t="shared" si="8" ref="J24:J31">IF($AC7&gt;$T$34,$Y$22,"OK")</f>
        <v>OK</v>
      </c>
      <c r="K24" s="33" t="str">
        <f aca="true" t="shared" si="9" ref="K24:K31">IF($AD7&gt;$J$35,$X$22,"OK")</f>
        <v>OK</v>
      </c>
      <c r="L24" s="33" t="str">
        <f aca="true" t="shared" si="10" ref="L24:L31">IF($N7&gt;$G$36,$V$23,"OK")</f>
        <v>OK</v>
      </c>
      <c r="M24" s="33" t="str">
        <f aca="true" t="shared" si="11" ref="M24:M31">IF($O7&gt;$G$37,$W$23,"OK")</f>
        <v>OK</v>
      </c>
      <c r="N24" s="33" t="str">
        <f>IF($R7&gt;$G$39,$W$23,"OK")</f>
        <v>OK</v>
      </c>
      <c r="O24" s="34" t="str">
        <f aca="true" t="shared" si="12" ref="O24:O31">IF($P7*16&gt;=$Q7,"OK",$X$23)</f>
        <v>OK</v>
      </c>
      <c r="P24" s="32" t="str">
        <f aca="true" t="shared" si="13" ref="P24:P31">IF(AND(Q7&gt;0,P7=0),$Y$23,"OK")</f>
        <v>OK</v>
      </c>
      <c r="Q24" s="32" t="str">
        <f>IF(AND(N24=$T$22,H24=$T$22,I24=$T$22,J24=$T$22,K24=$T$22,L24=$T$22,M24=$T$22,O24=$T$22,P24=$T$22),"OK","err")</f>
        <v>OK</v>
      </c>
      <c r="R24" s="33"/>
      <c r="S24" s="33"/>
      <c r="T24" s="33" t="str">
        <f>IF(OR(AE7&lt;&gt;"",AE8&lt;&gt;"",AE9&lt;&gt;"",AE10&lt;&gt;"",AE11&lt;&gt;"",AE12&lt;&gt;"",AE13&lt;&gt;"",AE14&lt;&gt;"",AE7&lt;&gt;AA22,AE8&lt;&gt;AA22,AE9&lt;&gt;AA22,AE10&lt;&gt;AA22,AE11&lt;&gt;AA22,AE12&lt;&gt;AA22,AE13&lt;&gt;AA22,AE14&lt;&gt;AA22,),"cos","OK")</f>
        <v>cos</v>
      </c>
      <c r="U24" s="33"/>
      <c r="V24" s="33" t="s">
        <v>74</v>
      </c>
      <c r="W24" s="33"/>
      <c r="X24" s="33"/>
      <c r="Y24" s="33"/>
      <c r="Z24" s="33"/>
      <c r="AA24" s="33"/>
      <c r="AB24" s="33"/>
      <c r="AC24" s="33"/>
      <c r="AD24" s="32">
        <f aca="true" t="shared" si="14" ref="AD24:AD30">IF(Y8=0,0,IF($B8=20,0.025,IF($B8=22,0.032,IF($B8=50,0.06,""))))</f>
        <v>0</v>
      </c>
      <c r="AE24" s="32">
        <f t="shared" si="5"/>
        <v>0</v>
      </c>
      <c r="AF24" s="32"/>
    </row>
    <row r="25" spans="3:32" s="3" customFormat="1" ht="12.75" hidden="1">
      <c r="C25" s="16"/>
      <c r="D25" s="33"/>
      <c r="E25" s="33"/>
      <c r="F25" s="33"/>
      <c r="G25" s="33"/>
      <c r="H25" s="33" t="str">
        <f t="shared" si="6"/>
        <v>OK</v>
      </c>
      <c r="I25" s="33" t="str">
        <f t="shared" si="7"/>
        <v>OK</v>
      </c>
      <c r="J25" s="33" t="str">
        <f t="shared" si="8"/>
        <v>OK</v>
      </c>
      <c r="K25" s="33" t="str">
        <f t="shared" si="9"/>
        <v>OK</v>
      </c>
      <c r="L25" s="33" t="str">
        <f t="shared" si="10"/>
        <v>OK</v>
      </c>
      <c r="M25" s="33" t="str">
        <f t="shared" si="11"/>
        <v>OK</v>
      </c>
      <c r="N25" s="33" t="str">
        <f aca="true" t="shared" si="15" ref="N25:N31">IF($R8&gt;$G$39,$W$23,"OK")</f>
        <v>OK</v>
      </c>
      <c r="O25" s="34" t="str">
        <f t="shared" si="12"/>
        <v>OK</v>
      </c>
      <c r="P25" s="32" t="str">
        <f t="shared" si="13"/>
        <v>OK</v>
      </c>
      <c r="Q25" s="32" t="str">
        <f aca="true" t="shared" si="16" ref="Q25:Q31">IF(AND(H25=$T$22,I25=$T$22,J25=$T$22,K25=$T$22,L25=$T$22,M25=$T$22,O25=$T$22,P25=$T$22),"OK","err")</f>
        <v>OK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2">
        <f t="shared" si="14"/>
        <v>0</v>
      </c>
      <c r="AE25" s="32">
        <f t="shared" si="5"/>
        <v>0</v>
      </c>
      <c r="AF25" s="32"/>
    </row>
    <row r="26" spans="3:32" s="3" customFormat="1" ht="12.75" hidden="1">
      <c r="C26" s="16"/>
      <c r="D26" s="33"/>
      <c r="E26" s="33"/>
      <c r="F26" s="33"/>
      <c r="G26" s="33"/>
      <c r="H26" s="33" t="str">
        <f t="shared" si="6"/>
        <v>OK</v>
      </c>
      <c r="I26" s="33" t="str">
        <f t="shared" si="7"/>
        <v>OK</v>
      </c>
      <c r="J26" s="33" t="str">
        <f t="shared" si="8"/>
        <v>OK</v>
      </c>
      <c r="K26" s="33" t="str">
        <f t="shared" si="9"/>
        <v>OK</v>
      </c>
      <c r="L26" s="33" t="str">
        <f t="shared" si="10"/>
        <v>OK</v>
      </c>
      <c r="M26" s="33" t="str">
        <f t="shared" si="11"/>
        <v>OK</v>
      </c>
      <c r="N26" s="33" t="str">
        <f t="shared" si="15"/>
        <v>OK</v>
      </c>
      <c r="O26" s="34" t="str">
        <f t="shared" si="12"/>
        <v>OK</v>
      </c>
      <c r="P26" s="32" t="str">
        <f t="shared" si="13"/>
        <v>OK</v>
      </c>
      <c r="Q26" s="32" t="str">
        <f t="shared" si="16"/>
        <v>OK</v>
      </c>
      <c r="R26" s="33"/>
      <c r="S26" s="27" t="str">
        <f>IF(D20&lt;&gt;0,D20*0.5,"x")</f>
        <v>x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2">
        <f t="shared" si="14"/>
        <v>0</v>
      </c>
      <c r="AE26" s="32">
        <f t="shared" si="5"/>
        <v>0</v>
      </c>
      <c r="AF26" s="32"/>
    </row>
    <row r="27" spans="3:32" s="3" customFormat="1" ht="12.75" hidden="1">
      <c r="C27" s="16"/>
      <c r="D27" s="33"/>
      <c r="E27" s="33"/>
      <c r="F27" s="33"/>
      <c r="G27" s="33"/>
      <c r="H27" s="33" t="str">
        <f t="shared" si="6"/>
        <v>OK</v>
      </c>
      <c r="I27" s="33" t="str">
        <f t="shared" si="7"/>
        <v>OK</v>
      </c>
      <c r="J27" s="33" t="str">
        <f t="shared" si="8"/>
        <v>OK</v>
      </c>
      <c r="K27" s="33" t="str">
        <f t="shared" si="9"/>
        <v>OK</v>
      </c>
      <c r="L27" s="33" t="str">
        <f t="shared" si="10"/>
        <v>OK</v>
      </c>
      <c r="M27" s="33" t="str">
        <f t="shared" si="11"/>
        <v>OK</v>
      </c>
      <c r="N27" s="33" t="str">
        <f t="shared" si="15"/>
        <v>OK</v>
      </c>
      <c r="O27" s="34" t="str">
        <f t="shared" si="12"/>
        <v>OK</v>
      </c>
      <c r="P27" s="32" t="str">
        <f t="shared" si="13"/>
        <v>OK</v>
      </c>
      <c r="Q27" s="32" t="str">
        <f t="shared" si="16"/>
        <v>OK</v>
      </c>
      <c r="R27" s="33"/>
      <c r="S27" s="27" t="str">
        <f>IF(I20&lt;&gt;0,I20*0.1,"x")</f>
        <v>x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2">
        <f t="shared" si="14"/>
        <v>0</v>
      </c>
      <c r="AE27" s="32">
        <f t="shared" si="5"/>
        <v>0</v>
      </c>
      <c r="AF27" s="32"/>
    </row>
    <row r="28" spans="3:32" s="3" customFormat="1" ht="12.75" hidden="1">
      <c r="C28" s="16"/>
      <c r="D28" s="33"/>
      <c r="E28" s="33"/>
      <c r="F28" s="33"/>
      <c r="G28" s="33"/>
      <c r="H28" s="33" t="str">
        <f t="shared" si="6"/>
        <v>OK</v>
      </c>
      <c r="I28" s="33" t="str">
        <f t="shared" si="7"/>
        <v>OK</v>
      </c>
      <c r="J28" s="33" t="str">
        <f t="shared" si="8"/>
        <v>OK</v>
      </c>
      <c r="K28" s="33" t="str">
        <f t="shared" si="9"/>
        <v>OK</v>
      </c>
      <c r="L28" s="33" t="str">
        <f t="shared" si="10"/>
        <v>OK</v>
      </c>
      <c r="M28" s="33" t="str">
        <f t="shared" si="11"/>
        <v>OK</v>
      </c>
      <c r="N28" s="33" t="str">
        <f t="shared" si="15"/>
        <v>OK</v>
      </c>
      <c r="O28" s="34" t="str">
        <f t="shared" si="12"/>
        <v>OK</v>
      </c>
      <c r="P28" s="32" t="str">
        <f t="shared" si="13"/>
        <v>OK</v>
      </c>
      <c r="Q28" s="32" t="str">
        <f t="shared" si="16"/>
        <v>OK</v>
      </c>
      <c r="R28" s="33"/>
      <c r="S28" s="33" t="str">
        <f>IF(OR(D20=2,AND(D20=1,I20=5)),"max","OK")</f>
        <v>OK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2">
        <f t="shared" si="14"/>
        <v>0</v>
      </c>
      <c r="AE28" s="32">
        <f t="shared" si="5"/>
        <v>0</v>
      </c>
      <c r="AF28" s="32"/>
    </row>
    <row r="29" spans="3:32" s="3" customFormat="1" ht="12.75" hidden="1">
      <c r="C29" s="16"/>
      <c r="D29" s="33"/>
      <c r="E29" s="33"/>
      <c r="F29" s="33"/>
      <c r="G29" s="33"/>
      <c r="H29" s="33" t="str">
        <f t="shared" si="6"/>
        <v>OK</v>
      </c>
      <c r="I29" s="33" t="str">
        <f t="shared" si="7"/>
        <v>OK</v>
      </c>
      <c r="J29" s="33" t="str">
        <f t="shared" si="8"/>
        <v>OK</v>
      </c>
      <c r="K29" s="33" t="str">
        <f t="shared" si="9"/>
        <v>OK</v>
      </c>
      <c r="L29" s="33" t="str">
        <f t="shared" si="10"/>
        <v>OK</v>
      </c>
      <c r="M29" s="33" t="str">
        <f t="shared" si="11"/>
        <v>OK</v>
      </c>
      <c r="N29" s="33" t="str">
        <f t="shared" si="15"/>
        <v>OK</v>
      </c>
      <c r="O29" s="34" t="str">
        <f t="shared" si="12"/>
        <v>OK</v>
      </c>
      <c r="P29" s="32" t="str">
        <f t="shared" si="13"/>
        <v>OK</v>
      </c>
      <c r="Q29" s="32" t="str">
        <f t="shared" si="16"/>
        <v>OK</v>
      </c>
      <c r="R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2">
        <f t="shared" si="14"/>
        <v>0</v>
      </c>
      <c r="AE29" s="32">
        <f t="shared" si="5"/>
        <v>0</v>
      </c>
      <c r="AF29" s="32"/>
    </row>
    <row r="30" spans="3:32" s="3" customFormat="1" ht="12.75" hidden="1">
      <c r="C30" s="16"/>
      <c r="D30" s="33"/>
      <c r="E30" s="33"/>
      <c r="F30" s="33"/>
      <c r="G30" s="33"/>
      <c r="H30" s="33" t="str">
        <f t="shared" si="6"/>
        <v>OK</v>
      </c>
      <c r="I30" s="33" t="str">
        <f t="shared" si="7"/>
        <v>OK</v>
      </c>
      <c r="J30" s="33" t="str">
        <f t="shared" si="8"/>
        <v>OK</v>
      </c>
      <c r="K30" s="33" t="str">
        <f t="shared" si="9"/>
        <v>OK</v>
      </c>
      <c r="L30" s="33" t="str">
        <f t="shared" si="10"/>
        <v>OK</v>
      </c>
      <c r="M30" s="33" t="str">
        <f t="shared" si="11"/>
        <v>OK</v>
      </c>
      <c r="N30" s="33" t="str">
        <f t="shared" si="15"/>
        <v>OK</v>
      </c>
      <c r="O30" s="34" t="str">
        <f t="shared" si="12"/>
        <v>OK</v>
      </c>
      <c r="P30" s="32" t="str">
        <f t="shared" si="13"/>
        <v>OK</v>
      </c>
      <c r="Q30" s="32" t="str">
        <f t="shared" si="16"/>
        <v>OK</v>
      </c>
      <c r="R30" s="33"/>
      <c r="S30" s="33">
        <f>D20*0.5+I20*0.1+O20</f>
        <v>0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2">
        <f t="shared" si="14"/>
        <v>0</v>
      </c>
      <c r="AE30" s="32">
        <f t="shared" si="5"/>
        <v>0</v>
      </c>
      <c r="AF30" s="32"/>
    </row>
    <row r="31" spans="3:32" s="3" customFormat="1" ht="12.75" hidden="1">
      <c r="C31" s="16"/>
      <c r="D31" s="33"/>
      <c r="E31" s="33"/>
      <c r="F31" s="33"/>
      <c r="G31" s="33"/>
      <c r="H31" s="33" t="str">
        <f t="shared" si="6"/>
        <v>OK</v>
      </c>
      <c r="I31" s="33" t="str">
        <f t="shared" si="7"/>
        <v>OK</v>
      </c>
      <c r="J31" s="33" t="str">
        <f t="shared" si="8"/>
        <v>OK</v>
      </c>
      <c r="K31" s="33" t="str">
        <f t="shared" si="9"/>
        <v>OK</v>
      </c>
      <c r="L31" s="33" t="str">
        <f t="shared" si="10"/>
        <v>OK</v>
      </c>
      <c r="M31" s="33" t="str">
        <f t="shared" si="11"/>
        <v>OK</v>
      </c>
      <c r="N31" s="33" t="str">
        <f t="shared" si="15"/>
        <v>OK</v>
      </c>
      <c r="O31" s="34" t="str">
        <f t="shared" si="12"/>
        <v>OK</v>
      </c>
      <c r="P31" s="32" t="str">
        <f t="shared" si="13"/>
        <v>OK</v>
      </c>
      <c r="Q31" s="32" t="str">
        <f t="shared" si="16"/>
        <v>OK</v>
      </c>
      <c r="R31" s="33"/>
      <c r="S31" s="33">
        <f>B40-S30</f>
        <v>1</v>
      </c>
      <c r="T31" s="33">
        <f>(D20*0.5+I20*0.1)</f>
        <v>0</v>
      </c>
      <c r="U31" s="33"/>
      <c r="V31" s="33"/>
      <c r="W31" s="33"/>
      <c r="X31" s="33"/>
      <c r="Y31" s="33"/>
      <c r="Z31" s="33"/>
      <c r="AA31" s="33"/>
      <c r="AB31" s="33" t="s">
        <v>50</v>
      </c>
      <c r="AC31" s="32"/>
      <c r="AD31" s="32"/>
      <c r="AE31" s="32"/>
      <c r="AF31" s="32" t="s">
        <v>53</v>
      </c>
    </row>
    <row r="32" spans="3:32" s="3" customFormat="1" ht="12.75" hidden="1">
      <c r="C32" s="16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str">
        <f>IF(S30&gt;B40,"prąd urządzeń zewnętrznych","OK")</f>
        <v>OK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f>0.14+SUM(AD22:AD31)</f>
        <v>0.19</v>
      </c>
      <c r="AE32" s="32">
        <f>0.28+SUM(AE22:AE31)</f>
        <v>0.33</v>
      </c>
      <c r="AF32" s="32"/>
    </row>
    <row r="33" spans="2:32" s="3" customFormat="1" ht="12.75" hidden="1">
      <c r="B33" s="3" t="s">
        <v>35</v>
      </c>
      <c r="D33" s="32"/>
      <c r="E33" s="32"/>
      <c r="F33" s="32"/>
      <c r="G33" s="32"/>
      <c r="H33" s="32"/>
      <c r="I33" s="32">
        <v>64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 t="s">
        <v>51</v>
      </c>
      <c r="AE33" s="32" t="s">
        <v>52</v>
      </c>
      <c r="AF33" s="32"/>
    </row>
    <row r="34" spans="2:32" s="3" customFormat="1" ht="12.75" hidden="1">
      <c r="B34" s="3" t="s">
        <v>34</v>
      </c>
      <c r="D34" s="32"/>
      <c r="E34" s="32"/>
      <c r="F34" s="32"/>
      <c r="G34" s="32" t="s">
        <v>33</v>
      </c>
      <c r="H34" s="32"/>
      <c r="I34" s="32"/>
      <c r="J34" s="32" t="s">
        <v>36</v>
      </c>
      <c r="K34" s="32"/>
      <c r="L34" s="32"/>
      <c r="M34" s="32" t="s">
        <v>37</v>
      </c>
      <c r="N34" s="32"/>
      <c r="O34" s="32"/>
      <c r="P34" s="32"/>
      <c r="Q34" s="32"/>
      <c r="R34" s="32"/>
      <c r="S34" s="32"/>
      <c r="T34" s="32">
        <f>VLOOKUP(B7,M35:O37,3)</f>
        <v>100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3" customFormat="1" ht="12.75" hidden="1">
      <c r="A35" s="3" t="s">
        <v>5</v>
      </c>
      <c r="B35" s="3">
        <v>40</v>
      </c>
      <c r="D35" s="32"/>
      <c r="E35" s="32"/>
      <c r="F35" s="32"/>
      <c r="G35" s="32"/>
      <c r="H35" s="32"/>
      <c r="I35" s="32"/>
      <c r="J35" s="32">
        <v>300</v>
      </c>
      <c r="K35" s="32"/>
      <c r="L35" s="32"/>
      <c r="M35" s="32">
        <v>20</v>
      </c>
      <c r="N35" s="32"/>
      <c r="O35" s="32">
        <v>100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" customFormat="1" ht="12.75" hidden="1">
      <c r="A36" s="3" t="s">
        <v>29</v>
      </c>
      <c r="B36" s="3">
        <v>40</v>
      </c>
      <c r="D36" s="32"/>
      <c r="E36" s="32"/>
      <c r="F36" s="32"/>
      <c r="G36" s="32">
        <v>20</v>
      </c>
      <c r="H36" s="32"/>
      <c r="I36" s="32"/>
      <c r="J36" s="32"/>
      <c r="K36" s="32"/>
      <c r="L36" s="32"/>
      <c r="M36" s="32">
        <v>22</v>
      </c>
      <c r="N36" s="32"/>
      <c r="O36" s="32">
        <v>75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" customFormat="1" ht="12.75" hidden="1">
      <c r="A37" s="3" t="s">
        <v>30</v>
      </c>
      <c r="B37" s="3">
        <v>40</v>
      </c>
      <c r="D37" s="32"/>
      <c r="E37" s="32"/>
      <c r="F37" s="32"/>
      <c r="G37" s="32">
        <v>20</v>
      </c>
      <c r="H37" s="32"/>
      <c r="I37" s="32"/>
      <c r="J37" s="32"/>
      <c r="K37" s="32"/>
      <c r="L37" s="32"/>
      <c r="M37" s="32">
        <v>50</v>
      </c>
      <c r="N37" s="32"/>
      <c r="O37" s="32">
        <v>45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" customFormat="1" ht="12.75" hidden="1">
      <c r="A38" s="3" t="s">
        <v>28</v>
      </c>
      <c r="B38" s="3">
        <v>40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" customFormat="1" ht="12.75" hidden="1">
      <c r="A39" s="3" t="s">
        <v>67</v>
      </c>
      <c r="B39" s="3">
        <v>40</v>
      </c>
      <c r="D39" s="32"/>
      <c r="E39" s="32"/>
      <c r="F39" s="32"/>
      <c r="G39" s="32">
        <v>20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2:27" s="3" customFormat="1" ht="12.75" hidden="1">
      <c r="B40" s="3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0:27" s="3" customFormat="1" ht="12.75" hidden="1"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0:27" s="37" customFormat="1" ht="12.75" hidden="1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0:27" s="37" customFormat="1" ht="12.75"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0:27" s="37" customFormat="1" ht="12.75"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0:27" s="37" customFormat="1" ht="12.75"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0:27" s="37" customFormat="1" ht="12.75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</sheetData>
  <mergeCells count="59">
    <mergeCell ref="AE19:AG19"/>
    <mergeCell ref="A15:B15"/>
    <mergeCell ref="AE20:AG20"/>
    <mergeCell ref="AE18:AG18"/>
    <mergeCell ref="D19:H19"/>
    <mergeCell ref="I19:K19"/>
    <mergeCell ref="L19:N19"/>
    <mergeCell ref="O19:Q19"/>
    <mergeCell ref="R19:U19"/>
    <mergeCell ref="V19:X19"/>
    <mergeCell ref="Y19:AD19"/>
    <mergeCell ref="A16:AG16"/>
    <mergeCell ref="D17:K17"/>
    <mergeCell ref="L17:Q17"/>
    <mergeCell ref="R17:X17"/>
    <mergeCell ref="Y17:AD17"/>
    <mergeCell ref="AE17:AG17"/>
    <mergeCell ref="A17:C17"/>
    <mergeCell ref="Y18:AD18"/>
    <mergeCell ref="A18:C18"/>
    <mergeCell ref="B22:C22"/>
    <mergeCell ref="A2:AG2"/>
    <mergeCell ref="C3:X3"/>
    <mergeCell ref="Y3:Y5"/>
    <mergeCell ref="Z3:AB3"/>
    <mergeCell ref="AC3:AC5"/>
    <mergeCell ref="AD3:AD5"/>
    <mergeCell ref="AE3:AG5"/>
    <mergeCell ref="S4:X4"/>
    <mergeCell ref="L20:N20"/>
    <mergeCell ref="O20:Q20"/>
    <mergeCell ref="R20:U20"/>
    <mergeCell ref="V20:X20"/>
    <mergeCell ref="Y20:AD20"/>
    <mergeCell ref="A20:C20"/>
    <mergeCell ref="D20:H20"/>
    <mergeCell ref="I20:K20"/>
    <mergeCell ref="A19:C19"/>
    <mergeCell ref="D18:H18"/>
    <mergeCell ref="I18:K18"/>
    <mergeCell ref="L18:N18"/>
    <mergeCell ref="O18:Q18"/>
    <mergeCell ref="R18:U18"/>
    <mergeCell ref="V18:X18"/>
    <mergeCell ref="AE12:AG12"/>
    <mergeCell ref="AE13:AG13"/>
    <mergeCell ref="AE14:AG14"/>
    <mergeCell ref="S15:X15"/>
    <mergeCell ref="AE15:AG15"/>
    <mergeCell ref="AE8:AG8"/>
    <mergeCell ref="AE9:AG9"/>
    <mergeCell ref="AE10:AG10"/>
    <mergeCell ref="AE11:AG11"/>
    <mergeCell ref="AE7:AG7"/>
    <mergeCell ref="A3:A5"/>
    <mergeCell ref="Z4:Z5"/>
    <mergeCell ref="AA4:AA5"/>
    <mergeCell ref="AB4:AB5"/>
    <mergeCell ref="AE6:AG6"/>
  </mergeCells>
  <conditionalFormatting sqref="AD7:AD14">
    <cfRule type="cellIs" priority="1" dxfId="0" operator="greaterThan" stopIfTrue="1">
      <formula>300</formula>
    </cfRule>
    <cfRule type="cellIs" priority="2" dxfId="1" operator="lessThanOrEqual" stopIfTrue="1">
      <formula>300</formula>
    </cfRule>
  </conditionalFormatting>
  <conditionalFormatting sqref="AE7:AG14">
    <cfRule type="cellIs" priority="3" dxfId="1" operator="equal" stopIfTrue="1">
      <formula>"Parametry prawidłowe"</formula>
    </cfRule>
    <cfRule type="cellIs" priority="4" dxfId="0" operator="notEqual" stopIfTrue="1">
      <formula>"Parametry prawidłowe"</formula>
    </cfRule>
  </conditionalFormatting>
  <conditionalFormatting sqref="AC7:AC14">
    <cfRule type="cellIs" priority="5" dxfId="0" operator="greaterThan" stopIfTrue="1">
      <formula>$T$34</formula>
    </cfRule>
    <cfRule type="cellIs" priority="6" dxfId="1" operator="lessThanOrEqual" stopIfTrue="1">
      <formula>$T$34</formula>
    </cfRule>
  </conditionalFormatting>
  <conditionalFormatting sqref="N7:O14">
    <cfRule type="cellIs" priority="7" dxfId="0" operator="greaterThan" stopIfTrue="1">
      <formula>20</formula>
    </cfRule>
  </conditionalFormatting>
  <conditionalFormatting sqref="AE15:AG15">
    <cfRule type="cellIs" priority="8" dxfId="1" operator="equal" stopIfTrue="1">
      <formula>"Parametry centrali prawidłowe"</formula>
    </cfRule>
    <cfRule type="cellIs" priority="9" dxfId="0" operator="notEqual" stopIfTrue="1">
      <formula>"Parametry prawidłowe"</formula>
    </cfRule>
  </conditionalFormatting>
  <conditionalFormatting sqref="Y7:Y14">
    <cfRule type="cellIs" priority="10" dxfId="2" operator="greaterThan" stopIfTrue="1">
      <formula>$B7</formula>
    </cfRule>
    <cfRule type="cellIs" priority="11" dxfId="3" operator="lessThanOrEqual" stopIfTrue="1">
      <formula>$B7</formula>
    </cfRule>
  </conditionalFormatting>
  <conditionalFormatting sqref="D20:K20">
    <cfRule type="expression" priority="12" dxfId="0" stopIfTrue="1">
      <formula>$S$31&lt;0</formula>
    </cfRule>
  </conditionalFormatting>
  <conditionalFormatting sqref="N15">
    <cfRule type="cellIs" priority="13" dxfId="0" operator="greaterThan" stopIfTrue="1">
      <formula>$B$36</formula>
    </cfRule>
  </conditionalFormatting>
  <conditionalFormatting sqref="O15">
    <cfRule type="cellIs" priority="14" dxfId="0" operator="greaterThan" stopIfTrue="1">
      <formula>$B$37</formula>
    </cfRule>
  </conditionalFormatting>
  <conditionalFormatting sqref="L15">
    <cfRule type="cellIs" priority="15" dxfId="0" operator="greaterThan" stopIfTrue="1">
      <formula>$B$38</formula>
    </cfRule>
  </conditionalFormatting>
  <conditionalFormatting sqref="M15">
    <cfRule type="cellIs" priority="16" dxfId="0" operator="greaterThan" stopIfTrue="1">
      <formula>$B$35</formula>
    </cfRule>
  </conditionalFormatting>
  <conditionalFormatting sqref="O20:Q20">
    <cfRule type="expression" priority="17" dxfId="0" stopIfTrue="1">
      <formula>$Q$32&lt;&gt;"OK"</formula>
    </cfRule>
  </conditionalFormatting>
  <conditionalFormatting sqref="R7:R14">
    <cfRule type="cellIs" priority="18" dxfId="4" operator="greaterThan" stopIfTrue="1">
      <formula>20</formula>
    </cfRule>
  </conditionalFormatting>
  <dataValidations count="20">
    <dataValidation type="whole" allowBlank="1" showInputMessage="1" sqref="S7:X14">
      <formula1>1</formula1>
      <formula2>127</formula2>
    </dataValidation>
    <dataValidation allowBlank="1" sqref="Y7:Y14"/>
    <dataValidation errorStyle="warning" type="custom" allowBlank="1" showInputMessage="1" promptTitle="OSTRZEŻENIE" prompt="Do jednego ACR można przypisać maks. 16 czujek  DUR 4047" errorTitle="UWAGA" error="Brak ACR!" sqref="Q7:Q14">
      <formula1>P7&gt;1</formula1>
    </dataValidation>
    <dataValidation errorStyle="warning" operator="equal" allowBlank="1" errorTitle="OSTRZEŻENIE" error="Nie ma adamterów ACR, czujki radiowe nie będą funkcjonowały" sqref="P24:P31"/>
    <dataValidation type="whole" operator="lessThanOrEqual" allowBlank="1" showErrorMessage="1" errorTitle="UWAGA" error="Przekroczono maksymalną ilość EWS dla pojedynczej centrali" sqref="N15">
      <formula1>100</formula1>
    </dataValidation>
    <dataValidation type="list" allowBlank="1" showInputMessage="1" showErrorMessage="1" prompt="Wybierz z listy ograniczenie prądowe pętli dozorowej [mA]" errorTitle="OGRANICZENIE PRĄDU PĘTLI" error="Ustaw prawidłowe ograniczenie prądowe pętli: 20, 22, 50mA" sqref="B7:B14">
      <formula1>"20,22,50"</formula1>
    </dataValidation>
    <dataValidation type="decimal" allowBlank="1" showInputMessage="1" showErrorMessage="1" prompt="wpisz długość kabla linii dozorowej w [km]" errorTitle="UWAGA" error="Wpisz tylko liczbę" sqref="Z7:Z14">
      <formula1>0.0001</formula1>
      <formula2>10000</formula2>
    </dataValidation>
    <dataValidation type="decimal" allowBlank="1" showInputMessage="1" showErrorMessage="1" prompt="Podaj pojemność elektryczną kabla" errorTitle="UWAGA" error="Wpisz tylko liczbę" sqref="AB7:AB14">
      <formula1>0.0001</formula1>
      <formula2>10000</formula2>
    </dataValidation>
    <dataValidation type="decimal" allowBlank="1" showInputMessage="1" showErrorMessage="1" prompt="Podaj rezystancję pojedynczej żyły kabla na kilometr, NIE MNÓŻ x2" errorTitle="UWAGA" error="Wpisz tylko liczbę" sqref="AA7:AA14">
      <formula1>0.0001</formula1>
      <formula2>10000</formula2>
    </dataValidation>
    <dataValidation errorStyle="warning" allowBlank="1" showInputMessage="1" promptTitle="INFORMACJA" prompt="Do obsługi czujek DUR 4047 wymagany jest co najmniej 1 adapter ACR-4001" errorTitle="UWAGA" error="Maksymalnie 20 EWK w linii" sqref="P7:P14"/>
    <dataValidation type="whole" allowBlank="1" showInputMessage="1" showErrorMessage="1" promptTitle="OSTRZEŻENIE" prompt="Maksymalnie 20 EWK na pętlę dozorową" errorTitle="UWAGA" error="Maksymalnie 20 EWK w linii" sqref="O7:O14">
      <formula1>0</formula1>
      <formula2>20</formula2>
    </dataValidation>
    <dataValidation type="list" allowBlank="1" showInputMessage="1" showErrorMessage="1" prompt="0,5A / 24V" errorTitle="BŁAD" error="Wybierz wartość z listy" sqref="D20:H20">
      <formula1>" ,0,1"</formula1>
    </dataValidation>
    <dataValidation allowBlank="1" showInputMessage="1" showErrorMessage="1" promptTitle="INFORMACJA" prompt="Centrala POLON 4100 ma tylko 1-ną linię dozorową" errorTitle="BŁĄD" error="Wybierz wartość z listy" sqref="I20:K20"/>
    <dataValidation type="decimal" allowBlank="1" showInputMessage="1" showErrorMessage="1" promptTitle="INFORMACJA" prompt="Maksymalny prąd dysponowany dla urządzeń zewnętrznych: 0,5A " errorTitle="BŁĄD" error="Wprowadzono zbyt dużą wartość" sqref="L20:N20">
      <formula1>0</formula1>
      <formula2>0.5</formula2>
    </dataValidation>
    <dataValidation type="whole" allowBlank="1" showErrorMessage="1" errorTitle="UWAGA" error="Próba wpisania zbyt dużej ilości urządzeń" sqref="C7:K14">
      <formula1>0</formula1>
      <formula2>$I$33</formula2>
    </dataValidation>
    <dataValidation type="whole" allowBlank="1" showInputMessage="1" showErrorMessage="1" promptTitle="INFORMACJA" prompt="SAL-4001 nie podłączony do zewnętrznego zasilania pobiera w alarmowaniu 0,6mA i tak jest on obliczany." errorTitle="UWAGA" error="Zbyt wiele urządzeń" sqref="L7:L14">
      <formula1>1</formula1>
      <formula2>$I$33</formula2>
    </dataValidation>
    <dataValidation type="whole" allowBlank="1" showInputMessage="1" showErrorMessage="1" errorTitle="UWAGA" error="Próba wpisania zbyt dużej ilości urządzeń" sqref="M7:M14">
      <formula1>0</formula1>
      <formula2>$I$33</formula2>
    </dataValidation>
    <dataValidation type="whole" allowBlank="1" showInputMessage="1" showErrorMessage="1" promptTitle="OSTREŻENIE" prompt="Maksymalnie 20 EWS na pętlę dozorową" errorTitle="UWAGA" error="Maksymalnie 20 EWS w linii" sqref="N7:N14">
      <formula1>0</formula1>
      <formula2>$G$36</formula2>
    </dataValidation>
    <dataValidation type="decimal" allowBlank="1" showInputMessage="1" showErrorMessage="1" promptTitle="INFORMACJA" prompt="Maksymalny dysponowany prąd dla urządzeń zewnętrznych: 0,5A (łącznie z liniami sygnałowymi)" errorTitle="BŁĄD" error="Przekroczenie prądu urządzeń zewnętrznych" sqref="O20:Q20">
      <formula1>0</formula1>
      <formula2>B40-T31</formula2>
    </dataValidation>
    <dataValidation type="whole" allowBlank="1" showInputMessage="1" showErrorMessage="1" promptTitle="OSTRZEŻENIE" prompt="Maksymalnie 20 central UCS na pętlę dozorową" errorTitle="UWAGA" error="Dopuszczalne jest 20 central UCS na jednej pętli" sqref="R7:R14">
      <formula1>0</formula1>
      <formula2>20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Polon 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 Giochev</dc:creator>
  <cp:keywords/>
  <dc:description/>
  <cp:lastModifiedBy>kmarchlewski</cp:lastModifiedBy>
  <cp:lastPrinted>2003-03-14T09:15:48Z</cp:lastPrinted>
  <dcterms:created xsi:type="dcterms:W3CDTF">2002-01-30T10:51:42Z</dcterms:created>
  <dcterms:modified xsi:type="dcterms:W3CDTF">2012-06-12T07:46:39Z</dcterms:modified>
  <cp:category/>
  <cp:version/>
  <cp:contentType/>
  <cp:contentStatus/>
</cp:coreProperties>
</file>